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3"/>
  </bookViews>
  <sheets>
    <sheet name="Uniformity" sheetId="2" r:id="rId1"/>
    <sheet name="SST " sheetId="5" r:id="rId2"/>
    <sheet name="Sulfamethoxazole" sheetId="6" r:id="rId3"/>
    <sheet name="Trimethoprim" sheetId="7" r:id="rId4"/>
  </sheets>
  <definedNames>
    <definedName name="_xlnm.Print_Area" localSheetId="1">'SST '!$A$1:$G$52</definedName>
    <definedName name="_xlnm.Print_Area" localSheetId="2">Sulfamethoxazole!$A$1:$H$126</definedName>
    <definedName name="_xlnm.Print_Area" localSheetId="3">Trimethoprim!$A$1:$H$126</definedName>
    <definedName name="_xlnm.Print_Area" localSheetId="0">Uniformity!$A$1:$F$54</definedName>
  </definedNames>
  <calcPr calcId="124519"/>
</workbook>
</file>

<file path=xl/calcChain.xml><?xml version="1.0" encoding="utf-8"?>
<calcChain xmlns="http://schemas.openxmlformats.org/spreadsheetml/2006/main">
  <c r="B57" i="7"/>
  <c r="B57" i="6"/>
  <c r="C120" i="7"/>
  <c r="B116"/>
  <c r="D100"/>
  <c r="B98"/>
  <c r="D101" s="1"/>
  <c r="F96"/>
  <c r="F97" s="1"/>
  <c r="D96"/>
  <c r="D97" s="1"/>
  <c r="D98" s="1"/>
  <c r="D99" s="1"/>
  <c r="F95"/>
  <c r="D95"/>
  <c r="G94"/>
  <c r="E94"/>
  <c r="B87"/>
  <c r="B81"/>
  <c r="B83" s="1"/>
  <c r="B80"/>
  <c r="B79"/>
  <c r="C76"/>
  <c r="H71"/>
  <c r="G71"/>
  <c r="D68"/>
  <c r="B68"/>
  <c r="B69" s="1"/>
  <c r="G67"/>
  <c r="H67" s="1"/>
  <c r="D64"/>
  <c r="H63"/>
  <c r="G63"/>
  <c r="D60"/>
  <c r="C56"/>
  <c r="B55"/>
  <c r="B45"/>
  <c r="D48" s="1"/>
  <c r="F42"/>
  <c r="D42"/>
  <c r="I39" s="1"/>
  <c r="G41"/>
  <c r="E41"/>
  <c r="B34"/>
  <c r="D44" s="1"/>
  <c r="D45" s="1"/>
  <c r="D46" s="1"/>
  <c r="B30"/>
  <c r="C120" i="6"/>
  <c r="B116"/>
  <c r="D100"/>
  <c r="D101" s="1"/>
  <c r="B98"/>
  <c r="F96"/>
  <c r="F97" s="1"/>
  <c r="F98" s="1"/>
  <c r="F99" s="1"/>
  <c r="D96"/>
  <c r="D97" s="1"/>
  <c r="D98" s="1"/>
  <c r="D99" s="1"/>
  <c r="F95"/>
  <c r="D95"/>
  <c r="G94"/>
  <c r="E94"/>
  <c r="B87"/>
  <c r="B83"/>
  <c r="B81"/>
  <c r="B80"/>
  <c r="B79"/>
  <c r="C76"/>
  <c r="H71"/>
  <c r="G71"/>
  <c r="B68"/>
  <c r="B69" s="1"/>
  <c r="H67"/>
  <c r="G67"/>
  <c r="H63"/>
  <c r="G63"/>
  <c r="C56"/>
  <c r="B55"/>
  <c r="B45"/>
  <c r="D48" s="1"/>
  <c r="D44"/>
  <c r="D45" s="1"/>
  <c r="D46" s="1"/>
  <c r="F42"/>
  <c r="D42"/>
  <c r="I39" s="1"/>
  <c r="G41"/>
  <c r="E41"/>
  <c r="B34"/>
  <c r="F44" s="1"/>
  <c r="F45" s="1"/>
  <c r="F46" s="1"/>
  <c r="B30"/>
  <c r="B41" i="5"/>
  <c r="E39"/>
  <c r="D39"/>
  <c r="C39"/>
  <c r="B39"/>
  <c r="B40" s="1"/>
  <c r="B30"/>
  <c r="B18"/>
  <c r="F17"/>
  <c r="E17"/>
  <c r="D17"/>
  <c r="C17"/>
  <c r="B17"/>
  <c r="B8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G40" i="6" l="1"/>
  <c r="E39"/>
  <c r="D49"/>
  <c r="E40"/>
  <c r="G39"/>
  <c r="G38"/>
  <c r="E38"/>
  <c r="G92"/>
  <c r="E92"/>
  <c r="D102"/>
  <c r="E91"/>
  <c r="E93"/>
  <c r="G91"/>
  <c r="G93"/>
  <c r="G93" i="7"/>
  <c r="E92"/>
  <c r="E93"/>
  <c r="D102"/>
  <c r="E91"/>
  <c r="E38"/>
  <c r="D49"/>
  <c r="E40"/>
  <c r="G38"/>
  <c r="G40"/>
  <c r="E39"/>
  <c r="F98"/>
  <c r="F99" s="1"/>
  <c r="F44"/>
  <c r="F45" s="1"/>
  <c r="F46" s="1"/>
  <c r="I92"/>
  <c r="I92" i="6"/>
  <c r="D105" l="1"/>
  <c r="E95"/>
  <c r="D103"/>
  <c r="D50"/>
  <c r="E42"/>
  <c r="D52"/>
  <c r="E95" i="7"/>
  <c r="D105"/>
  <c r="D50"/>
  <c r="E42"/>
  <c r="G91"/>
  <c r="G95" i="6"/>
  <c r="G39" i="7"/>
  <c r="D52" s="1"/>
  <c r="G92"/>
  <c r="D103" s="1"/>
  <c r="G42" i="6"/>
  <c r="E113" i="7" l="1"/>
  <c r="F113" s="1"/>
  <c r="E111"/>
  <c r="F111" s="1"/>
  <c r="E109"/>
  <c r="F109" s="1"/>
  <c r="D104"/>
  <c r="E112"/>
  <c r="F112" s="1"/>
  <c r="E110"/>
  <c r="F110" s="1"/>
  <c r="E108"/>
  <c r="G68"/>
  <c r="H68" s="1"/>
  <c r="G65"/>
  <c r="H65" s="1"/>
  <c r="G61"/>
  <c r="H61" s="1"/>
  <c r="D51"/>
  <c r="G70"/>
  <c r="H70" s="1"/>
  <c r="G62"/>
  <c r="H62" s="1"/>
  <c r="G60"/>
  <c r="G69"/>
  <c r="H69" s="1"/>
  <c r="G66"/>
  <c r="H66" s="1"/>
  <c r="G64"/>
  <c r="H64" s="1"/>
  <c r="E111" i="6"/>
  <c r="F111" s="1"/>
  <c r="D104"/>
  <c r="E112"/>
  <c r="F112" s="1"/>
  <c r="E110"/>
  <c r="F110" s="1"/>
  <c r="E108"/>
  <c r="E113"/>
  <c r="F113" s="1"/>
  <c r="E109"/>
  <c r="F109" s="1"/>
  <c r="G70"/>
  <c r="H70" s="1"/>
  <c r="G65"/>
  <c r="H65" s="1"/>
  <c r="G61"/>
  <c r="H61" s="1"/>
  <c r="G68"/>
  <c r="H68" s="1"/>
  <c r="D51"/>
  <c r="G69"/>
  <c r="H69" s="1"/>
  <c r="G66"/>
  <c r="H66" s="1"/>
  <c r="G64"/>
  <c r="H64" s="1"/>
  <c r="G62"/>
  <c r="H62" s="1"/>
  <c r="G60"/>
  <c r="G42" i="7"/>
  <c r="G95"/>
  <c r="G74" i="6" l="1"/>
  <c r="G72"/>
  <c r="G73" s="1"/>
  <c r="H60"/>
  <c r="E115"/>
  <c r="E116" s="1"/>
  <c r="E117"/>
  <c r="F108"/>
  <c r="G74" i="7"/>
  <c r="G72"/>
  <c r="G73" s="1"/>
  <c r="H60"/>
  <c r="E115"/>
  <c r="E116" s="1"/>
  <c r="E117"/>
  <c r="F108"/>
  <c r="F117" l="1"/>
  <c r="F115"/>
  <c r="G120" s="1"/>
  <c r="H74"/>
  <c r="H72"/>
  <c r="G76" s="1"/>
  <c r="F116" i="6"/>
  <c r="F115"/>
  <c r="G120" s="1"/>
  <c r="F117"/>
  <c r="H74"/>
  <c r="H72"/>
  <c r="G76" s="1"/>
  <c r="F116" i="7" l="1"/>
  <c r="H73" i="6"/>
  <c r="H73" i="7"/>
</calcChain>
</file>

<file path=xl/sharedStrings.xml><?xml version="1.0" encoding="utf-8"?>
<sst xmlns="http://schemas.openxmlformats.org/spreadsheetml/2006/main" count="397" uniqueCount="136">
  <si>
    <t>HPLC System Suitability Report</t>
  </si>
  <si>
    <t>Analysis Data</t>
  </si>
  <si>
    <t>Sample(s)</t>
  </si>
  <si>
    <t>Reference Substance:</t>
  </si>
  <si>
    <t>SULFRAN - DS TABLETS</t>
  </si>
  <si>
    <t>% age Purity:</t>
  </si>
  <si>
    <t>NDQB201603837</t>
  </si>
  <si>
    <t>Weight (mg):</t>
  </si>
  <si>
    <t>Sulfamethoxazole BP &amp; Trimethoprim BP</t>
  </si>
  <si>
    <t>Standard Conc (mg/mL):</t>
  </si>
  <si>
    <t>Sulphamethoxazole 800mg Trimethoprim 160 per tablets</t>
  </si>
  <si>
    <t>2016-04-01 12:28:45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</si>
  <si>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</si>
  <si>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</si>
  <si>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</si>
  <si>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</si>
  <si>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</si>
  <si>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</si>
  <si>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</si>
  <si>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</si>
  <si>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</si>
  <si>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</si>
  <si>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</si>
  <si>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</si>
  <si>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</si>
  <si>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</si>
  <si>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</si>
  <si>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</si>
  <si>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</si>
  <si>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</si>
  <si>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</si>
  <si>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</si>
  <si>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</si>
  <si>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</si>
  <si>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</si>
  <si>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</si>
  <si>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</si>
  <si>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</si>
  <si>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</si>
  <si>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</si>
  <si>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</si>
  <si>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</si>
  <si>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</si>
  <si>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</si>
  <si>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</si>
  <si>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</si>
  <si>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</si>
  <si>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</si>
  <si>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</si>
  <si>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</si>
  <si>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</si>
  <si>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</si>
  <si>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</si>
  <si>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</si>
  <si>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</si>
  <si>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</si>
  <si>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</si>
  <si>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</si>
  <si>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</si>
  <si>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</si>
  <si>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</si>
  <si>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</si>
  <si>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</si>
  <si>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</si>
  <si>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</si>
  <si>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</si>
  <si>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</si>
  <si>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</si>
  <si>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</si>
  <si>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</si>
  <si>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</si>
  <si>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</si>
  <si>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</si>
  <si>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</si>
  <si>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</si>
  <si>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</si>
  <si>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</si>
  <si>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</si>
  <si>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</si>
  <si>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</si>
  <si>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</si>
  <si>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</si>
  <si>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</si>
  <si>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</si>
  <si>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</si>
  <si>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</si>
  <si>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</si>
  <si>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</si>
  <si>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</si>
  <si>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</si>
  <si>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</si>
  <si>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</si>
  <si>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</si>
  <si>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</si>
  <si>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</si>
  <si>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</si>
  <si>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</si>
  <si>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</si>
  <si>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</si>
  <si>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</si>
  <si>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</si>
  <si>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</si>
  <si>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</si>
  <si>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Assay &amp; Dissolution</t>
  </si>
  <si>
    <t>Sulfran DS Tablets &amp; Cosatrim Suspension</t>
  </si>
  <si>
    <t>Sulfamethoxazole</t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</si>
  <si>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</si>
  <si>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</si>
  <si>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</si>
  <si>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</si>
  <si>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</si>
  <si>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</si>
  <si>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</si>
  <si>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>15th April 2016</t>
  </si>
  <si>
    <t>Sulfran DS Tablets</t>
  </si>
  <si>
    <t>each tablets contains sulphamethoxazole 800mg Trimethoprim 160mg.</t>
  </si>
  <si>
    <t>Each tablet contains: Sulphamethoxazole B.P. 800 mg and Trimethoprim B.P. 160 mg.</t>
  </si>
  <si>
    <t>S12-1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</si>
  <si>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</si>
  <si>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</si>
  <si>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</si>
  <si>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</si>
  <si>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</si>
  <si>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</si>
  <si>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</si>
  <si>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</si>
  <si>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</si>
  <si>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</si>
  <si>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</si>
  <si>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</si>
  <si>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</si>
  <si>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</si>
  <si>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</si>
  <si>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</si>
  <si>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</si>
  <si>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T7-001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</si>
</sst>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sz val="14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2" borderId="0"/>
  </cellStyleXfs>
  <cellXfs count="307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2" fillId="2" borderId="0" xfId="1" applyFont="1" applyFill="1"/>
    <xf numFmtId="0" fontId="13" fillId="2" borderId="0" xfId="1" applyFont="1" applyFill="1"/>
    <xf numFmtId="0" fontId="13" fillId="2" borderId="0" xfId="1" applyFont="1" applyFill="1" applyAlignment="1">
      <alignment horizontal="right"/>
    </xf>
    <xf numFmtId="0" fontId="0" fillId="2" borderId="0" xfId="1" applyFont="1" applyFill="1"/>
    <xf numFmtId="0" fontId="15" fillId="2" borderId="0" xfId="1" applyFont="1" applyFill="1"/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6" fillId="2" borderId="0" xfId="1" applyFont="1" applyFill="1" applyAlignment="1">
      <alignment horizontal="center"/>
    </xf>
    <xf numFmtId="0" fontId="17" fillId="2" borderId="0" xfId="1" applyFont="1" applyFill="1"/>
    <xf numFmtId="0" fontId="16" fillId="2" borderId="0" xfId="1" applyFont="1" applyFill="1"/>
    <xf numFmtId="2" fontId="16" fillId="2" borderId="0" xfId="1" applyNumberFormat="1" applyFont="1" applyFill="1" applyAlignment="1">
      <alignment horizontal="center"/>
    </xf>
    <xf numFmtId="164" fontId="16" fillId="2" borderId="0" xfId="1" applyNumberFormat="1" applyFont="1" applyFill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6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center"/>
    </xf>
    <xf numFmtId="0" fontId="18" fillId="3" borderId="3" xfId="1" applyFont="1" applyFill="1" applyBorder="1" applyAlignment="1" applyProtection="1">
      <alignment horizontal="center"/>
      <protection locked="0"/>
    </xf>
    <xf numFmtId="2" fontId="18" fillId="3" borderId="3" xfId="1" applyNumberFormat="1" applyFont="1" applyFill="1" applyBorder="1" applyAlignment="1" applyProtection="1">
      <alignment horizontal="center"/>
      <protection locked="0"/>
    </xf>
    <xf numFmtId="2" fontId="18" fillId="3" borderId="4" xfId="1" applyNumberFormat="1" applyFont="1" applyFill="1" applyBorder="1" applyAlignment="1" applyProtection="1">
      <alignment horizontal="center"/>
      <protection locked="0"/>
    </xf>
    <xf numFmtId="0" fontId="18" fillId="3" borderId="5" xfId="1" applyFont="1" applyFill="1" applyBorder="1" applyAlignment="1" applyProtection="1">
      <alignment horizontal="center"/>
      <protection locked="0"/>
    </xf>
    <xf numFmtId="2" fontId="18" fillId="3" borderId="5" xfId="1" applyNumberFormat="1" applyFont="1" applyFill="1" applyBorder="1" applyAlignment="1" applyProtection="1">
      <alignment horizontal="center"/>
      <protection locked="0"/>
    </xf>
    <xf numFmtId="0" fontId="17" fillId="2" borderId="4" xfId="1" applyFont="1" applyFill="1" applyBorder="1"/>
    <xf numFmtId="1" fontId="16" fillId="4" borderId="2" xfId="1" applyNumberFormat="1" applyFont="1" applyFill="1" applyBorder="1" applyAlignment="1">
      <alignment horizontal="center"/>
    </xf>
    <xf numFmtId="1" fontId="16" fillId="4" borderId="1" xfId="1" applyNumberFormat="1" applyFont="1" applyFill="1" applyBorder="1" applyAlignment="1">
      <alignment horizontal="center"/>
    </xf>
    <xf numFmtId="2" fontId="16" fillId="4" borderId="1" xfId="1" applyNumberFormat="1" applyFont="1" applyFill="1" applyBorder="1" applyAlignment="1">
      <alignment horizontal="center"/>
    </xf>
    <xf numFmtId="0" fontId="17" fillId="2" borderId="3" xfId="1" applyFont="1" applyFill="1" applyBorder="1"/>
    <xf numFmtId="10" fontId="16" fillId="5" borderId="1" xfId="1" applyNumberFormat="1" applyFont="1" applyFill="1" applyBorder="1" applyAlignment="1">
      <alignment horizontal="center"/>
    </xf>
    <xf numFmtId="165" fontId="16" fillId="2" borderId="0" xfId="1" applyNumberFormat="1" applyFont="1" applyFill="1" applyAlignment="1">
      <alignment horizontal="center"/>
    </xf>
    <xf numFmtId="0" fontId="17" fillId="2" borderId="6" xfId="1" applyFont="1" applyFill="1" applyBorder="1"/>
    <xf numFmtId="0" fontId="17" fillId="2" borderId="5" xfId="1" applyFont="1" applyFill="1" applyBorder="1"/>
    <xf numFmtId="0" fontId="16" fillId="4" borderId="1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17" fillId="2" borderId="7" xfId="1" applyFont="1" applyFill="1" applyBorder="1"/>
    <xf numFmtId="0" fontId="17" fillId="2" borderId="8" xfId="1" applyFont="1" applyFill="1" applyBorder="1"/>
    <xf numFmtId="0" fontId="17" fillId="2" borderId="0" xfId="1" applyFont="1" applyFill="1" applyAlignment="1" applyProtection="1">
      <alignment horizontal="left"/>
      <protection locked="0"/>
    </xf>
    <xf numFmtId="0" fontId="17" fillId="2" borderId="0" xfId="1" applyFont="1" applyFill="1" applyProtection="1">
      <protection locked="0"/>
    </xf>
    <xf numFmtId="0" fontId="5" fillId="2" borderId="0" xfId="1" applyFont="1" applyFill="1"/>
    <xf numFmtId="0" fontId="13" fillId="2" borderId="9" xfId="1" applyFont="1" applyFill="1" applyBorder="1"/>
    <xf numFmtId="10" fontId="13" fillId="2" borderId="9" xfId="1" applyNumberFormat="1" applyFont="1" applyFill="1" applyBorder="1"/>
    <xf numFmtId="0" fontId="12" fillId="2" borderId="10" xfId="1" applyFont="1" applyFill="1" applyBorder="1" applyAlignment="1">
      <alignment horizontal="center"/>
    </xf>
    <xf numFmtId="0" fontId="13" fillId="2" borderId="10" xfId="1" applyFont="1" applyFill="1" applyBorder="1" applyAlignment="1">
      <alignment horizontal="center"/>
    </xf>
    <xf numFmtId="0" fontId="12" fillId="2" borderId="0" xfId="1" applyFont="1" applyFill="1" applyAlignment="1">
      <alignment horizontal="right"/>
    </xf>
    <xf numFmtId="0" fontId="13" fillId="2" borderId="7" xfId="1" applyFont="1" applyFill="1" applyBorder="1"/>
    <xf numFmtId="0" fontId="12" fillId="2" borderId="11" xfId="1" applyFont="1" applyFill="1" applyBorder="1"/>
    <xf numFmtId="0" fontId="13" fillId="2" borderId="11" xfId="1" applyFont="1" applyFill="1" applyBorder="1"/>
    <xf numFmtId="0" fontId="21" fillId="2" borderId="0" xfId="1" applyFont="1" applyFill="1"/>
    <xf numFmtId="0" fontId="24" fillId="2" borderId="0" xfId="1" applyFont="1" applyFill="1"/>
    <xf numFmtId="0" fontId="25" fillId="2" borderId="0" xfId="1" applyFont="1" applyFill="1" applyAlignment="1" applyProtection="1">
      <alignment horizontal="right"/>
      <protection locked="0"/>
    </xf>
    <xf numFmtId="0" fontId="25" fillId="2" borderId="0" xfId="1" applyFont="1" applyFill="1" applyAlignment="1" applyProtection="1">
      <alignment horizontal="left"/>
      <protection locked="0"/>
    </xf>
    <xf numFmtId="0" fontId="26" fillId="2" borderId="0" xfId="1" applyFont="1" applyFill="1"/>
    <xf numFmtId="0" fontId="21" fillId="3" borderId="0" xfId="1" applyFont="1" applyFill="1" applyProtection="1">
      <protection locked="0"/>
    </xf>
    <xf numFmtId="168" fontId="26" fillId="3" borderId="0" xfId="1" applyNumberFormat="1" applyFont="1" applyFill="1" applyAlignment="1" applyProtection="1">
      <alignment horizontal="center"/>
      <protection locked="0"/>
    </xf>
    <xf numFmtId="169" fontId="21" fillId="2" borderId="0" xfId="1" applyNumberFormat="1" applyFont="1" applyFill="1" applyAlignment="1">
      <alignment horizontal="left"/>
    </xf>
    <xf numFmtId="0" fontId="14" fillId="2" borderId="0" xfId="1" applyFont="1" applyFill="1" applyAlignment="1">
      <alignment horizontal="left"/>
    </xf>
    <xf numFmtId="0" fontId="24" fillId="2" borderId="0" xfId="1" applyFont="1" applyFill="1" applyAlignment="1">
      <alignment horizontal="right"/>
    </xf>
    <xf numFmtId="0" fontId="21" fillId="2" borderId="0" xfId="1" applyFont="1" applyFill="1" applyAlignment="1">
      <alignment horizontal="right"/>
    </xf>
    <xf numFmtId="0" fontId="26" fillId="3" borderId="0" xfId="1" applyFont="1" applyFill="1" applyAlignment="1" applyProtection="1">
      <alignment horizontal="left"/>
      <protection locked="0"/>
    </xf>
    <xf numFmtId="0" fontId="25" fillId="3" borderId="0" xfId="1" applyFont="1" applyFill="1" applyAlignment="1" applyProtection="1">
      <alignment horizontal="center"/>
      <protection locked="0"/>
    </xf>
    <xf numFmtId="0" fontId="26" fillId="3" borderId="0" xfId="1" applyFont="1" applyFill="1" applyAlignment="1" applyProtection="1">
      <alignment horizontal="center"/>
      <protection locked="0"/>
    </xf>
    <xf numFmtId="0" fontId="27" fillId="2" borderId="0" xfId="1" applyFont="1" applyFill="1" applyAlignment="1">
      <alignment vertical="center" wrapText="1"/>
    </xf>
    <xf numFmtId="0" fontId="24" fillId="2" borderId="0" xfId="1" applyFont="1" applyFill="1" applyAlignment="1">
      <alignment horizontal="center"/>
    </xf>
    <xf numFmtId="0" fontId="28" fillId="2" borderId="0" xfId="1" applyFont="1" applyFill="1"/>
    <xf numFmtId="0" fontId="29" fillId="2" borderId="0" xfId="1" applyFont="1" applyFill="1"/>
    <xf numFmtId="2" fontId="25" fillId="3" borderId="0" xfId="1" applyNumberFormat="1" applyFont="1" applyFill="1" applyAlignment="1" applyProtection="1">
      <alignment horizontal="center"/>
      <protection locked="0"/>
    </xf>
    <xf numFmtId="0" fontId="24" fillId="2" borderId="0" xfId="1" applyFont="1" applyFill="1" applyAlignment="1">
      <alignment vertical="center" wrapText="1"/>
    </xf>
    <xf numFmtId="0" fontId="30" fillId="2" borderId="0" xfId="1" applyFont="1" applyFill="1"/>
    <xf numFmtId="2" fontId="24" fillId="2" borderId="0" xfId="1" applyNumberFormat="1" applyFont="1" applyFill="1" applyAlignment="1">
      <alignment horizontal="center"/>
    </xf>
    <xf numFmtId="0" fontId="22" fillId="2" borderId="0" xfId="1" applyFont="1" applyFill="1" applyAlignment="1">
      <alignment horizontal="left" vertical="center" wrapText="1"/>
    </xf>
    <xf numFmtId="170" fontId="24" fillId="2" borderId="0" xfId="1" applyNumberFormat="1" applyFont="1" applyFill="1" applyAlignment="1">
      <alignment horizontal="center"/>
    </xf>
    <xf numFmtId="0" fontId="21" fillId="2" borderId="21" xfId="1" applyFont="1" applyFill="1" applyBorder="1" applyAlignment="1">
      <alignment horizontal="right"/>
    </xf>
    <xf numFmtId="0" fontId="25" fillId="3" borderId="22" xfId="1" applyFont="1" applyFill="1" applyBorder="1" applyAlignment="1" applyProtection="1">
      <alignment horizontal="center"/>
      <protection locked="0"/>
    </xf>
    <xf numFmtId="0" fontId="21" fillId="2" borderId="23" xfId="1" applyFont="1" applyFill="1" applyBorder="1" applyAlignment="1">
      <alignment horizontal="right"/>
    </xf>
    <xf numFmtId="0" fontId="25" fillId="3" borderId="24" xfId="1" applyFont="1" applyFill="1" applyBorder="1" applyAlignment="1" applyProtection="1">
      <alignment horizontal="center"/>
      <protection locked="0"/>
    </xf>
    <xf numFmtId="0" fontId="24" fillId="2" borderId="22" xfId="1" applyFont="1" applyFill="1" applyBorder="1" applyAlignment="1">
      <alignment horizontal="center"/>
    </xf>
    <xf numFmtId="0" fontId="24" fillId="2" borderId="25" xfId="1" applyFont="1" applyFill="1" applyBorder="1" applyAlignment="1">
      <alignment horizontal="center"/>
    </xf>
    <xf numFmtId="0" fontId="24" fillId="2" borderId="26" xfId="1" applyFont="1" applyFill="1" applyBorder="1" applyAlignment="1">
      <alignment horizontal="center"/>
    </xf>
    <xf numFmtId="0" fontId="24" fillId="2" borderId="27" xfId="1" applyFont="1" applyFill="1" applyBorder="1" applyAlignment="1">
      <alignment horizontal="center"/>
    </xf>
    <xf numFmtId="0" fontId="24" fillId="2" borderId="12" xfId="1" applyFont="1" applyFill="1" applyBorder="1" applyAlignment="1">
      <alignment horizontal="center"/>
    </xf>
    <xf numFmtId="0" fontId="21" fillId="2" borderId="28" xfId="1" applyFont="1" applyFill="1" applyBorder="1" applyAlignment="1">
      <alignment horizontal="center"/>
    </xf>
    <xf numFmtId="0" fontId="25" fillId="3" borderId="29" xfId="1" applyFont="1" applyFill="1" applyBorder="1" applyAlignment="1" applyProtection="1">
      <alignment horizontal="center"/>
      <protection locked="0"/>
    </xf>
    <xf numFmtId="171" fontId="21" fillId="2" borderId="26" xfId="1" applyNumberFormat="1" applyFont="1" applyFill="1" applyBorder="1" applyAlignment="1">
      <alignment horizontal="center"/>
    </xf>
    <xf numFmtId="171" fontId="21" fillId="2" borderId="30" xfId="1" applyNumberFormat="1" applyFont="1" applyFill="1" applyBorder="1" applyAlignment="1">
      <alignment horizontal="center"/>
    </xf>
    <xf numFmtId="0" fontId="30" fillId="2" borderId="13" xfId="1" applyFont="1" applyFill="1" applyBorder="1"/>
    <xf numFmtId="0" fontId="21" fillId="2" borderId="24" xfId="1" applyFont="1" applyFill="1" applyBorder="1" applyAlignment="1">
      <alignment horizontal="center"/>
    </xf>
    <xf numFmtId="0" fontId="25" fillId="3" borderId="23" xfId="1" applyFont="1" applyFill="1" applyBorder="1" applyAlignment="1" applyProtection="1">
      <alignment horizontal="center"/>
      <protection locked="0"/>
    </xf>
    <xf numFmtId="171" fontId="21" fillId="2" borderId="31" xfId="1" applyNumberFormat="1" applyFont="1" applyFill="1" applyBorder="1" applyAlignment="1">
      <alignment horizontal="center"/>
    </xf>
    <xf numFmtId="171" fontId="21" fillId="2" borderId="32" xfId="1" applyNumberFormat="1" applyFont="1" applyFill="1" applyBorder="1" applyAlignment="1">
      <alignment horizontal="center"/>
    </xf>
    <xf numFmtId="0" fontId="21" fillId="2" borderId="33" xfId="1" applyFont="1" applyFill="1" applyBorder="1" applyAlignment="1">
      <alignment horizontal="center"/>
    </xf>
    <xf numFmtId="0" fontId="25" fillId="3" borderId="34" xfId="1" applyFont="1" applyFill="1" applyBorder="1" applyAlignment="1" applyProtection="1">
      <alignment horizontal="center"/>
      <protection locked="0"/>
    </xf>
    <xf numFmtId="171" fontId="21" fillId="2" borderId="35" xfId="1" applyNumberFormat="1" applyFont="1" applyFill="1" applyBorder="1" applyAlignment="1">
      <alignment horizontal="center"/>
    </xf>
    <xf numFmtId="171" fontId="21" fillId="2" borderId="36" xfId="1" applyNumberFormat="1" applyFont="1" applyFill="1" applyBorder="1" applyAlignment="1">
      <alignment horizontal="center"/>
    </xf>
    <xf numFmtId="0" fontId="21" fillId="2" borderId="15" xfId="1" applyFont="1" applyFill="1" applyBorder="1"/>
    <xf numFmtId="0" fontId="21" fillId="2" borderId="24" xfId="1" applyFont="1" applyFill="1" applyBorder="1" applyAlignment="1">
      <alignment horizontal="right"/>
    </xf>
    <xf numFmtId="1" fontId="24" fillId="6" borderId="37" xfId="1" applyNumberFormat="1" applyFont="1" applyFill="1" applyBorder="1" applyAlignment="1">
      <alignment horizontal="center"/>
    </xf>
    <xf numFmtId="171" fontId="24" fillId="6" borderId="38" xfId="1" applyNumberFormat="1" applyFont="1" applyFill="1" applyBorder="1" applyAlignment="1">
      <alignment horizontal="center"/>
    </xf>
    <xf numFmtId="171" fontId="24" fillId="6" borderId="39" xfId="1" applyNumberFormat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21" fillId="2" borderId="40" xfId="1" applyFont="1" applyFill="1" applyBorder="1" applyAlignment="1">
      <alignment horizontal="right"/>
    </xf>
    <xf numFmtId="0" fontId="25" fillId="3" borderId="16" xfId="1" applyFont="1" applyFill="1" applyBorder="1" applyAlignment="1" applyProtection="1">
      <alignment horizontal="center"/>
      <protection locked="0"/>
    </xf>
    <xf numFmtId="0" fontId="21" fillId="2" borderId="11" xfId="1" applyFont="1" applyFill="1" applyBorder="1" applyAlignment="1">
      <alignment horizontal="right"/>
    </xf>
    <xf numFmtId="2" fontId="21" fillId="6" borderId="41" xfId="1" applyNumberFormat="1" applyFont="1" applyFill="1" applyBorder="1" applyAlignment="1">
      <alignment horizontal="center"/>
    </xf>
    <xf numFmtId="0" fontId="21" fillId="2" borderId="0" xfId="1" applyFont="1" applyFill="1" applyAlignment="1">
      <alignment horizontal="center"/>
    </xf>
    <xf numFmtId="2" fontId="21" fillId="7" borderId="41" xfId="1" applyNumberFormat="1" applyFont="1" applyFill="1" applyBorder="1" applyAlignment="1">
      <alignment horizontal="center"/>
    </xf>
    <xf numFmtId="2" fontId="21" fillId="2" borderId="0" xfId="1" applyNumberFormat="1" applyFont="1" applyFill="1" applyAlignment="1">
      <alignment horizontal="center"/>
    </xf>
    <xf numFmtId="166" fontId="21" fillId="6" borderId="41" xfId="1" applyNumberFormat="1" applyFont="1" applyFill="1" applyBorder="1" applyAlignment="1">
      <alignment horizontal="center"/>
    </xf>
    <xf numFmtId="166" fontId="21" fillId="2" borderId="0" xfId="1" applyNumberFormat="1" applyFont="1" applyFill="1" applyAlignment="1">
      <alignment horizontal="center"/>
    </xf>
    <xf numFmtId="166" fontId="21" fillId="6" borderId="17" xfId="1" applyNumberFormat="1" applyFont="1" applyFill="1" applyBorder="1" applyAlignment="1">
      <alignment horizontal="center"/>
    </xf>
    <xf numFmtId="0" fontId="21" fillId="2" borderId="42" xfId="1" applyFont="1" applyFill="1" applyBorder="1" applyAlignment="1">
      <alignment horizontal="right"/>
    </xf>
    <xf numFmtId="166" fontId="25" fillId="3" borderId="41" xfId="1" applyNumberFormat="1" applyFont="1" applyFill="1" applyBorder="1" applyAlignment="1" applyProtection="1">
      <alignment horizontal="center"/>
      <protection locked="0"/>
    </xf>
    <xf numFmtId="166" fontId="21" fillId="2" borderId="0" xfId="1" applyNumberFormat="1" applyFont="1" applyFill="1"/>
    <xf numFmtId="0" fontId="21" fillId="2" borderId="29" xfId="1" applyFont="1" applyFill="1" applyBorder="1" applyAlignment="1">
      <alignment horizontal="right"/>
    </xf>
    <xf numFmtId="1" fontId="21" fillId="2" borderId="0" xfId="1" applyNumberFormat="1" applyFont="1" applyFill="1" applyAlignment="1">
      <alignment horizontal="center"/>
    </xf>
    <xf numFmtId="0" fontId="21" fillId="2" borderId="15" xfId="1" applyFont="1" applyFill="1" applyBorder="1" applyAlignment="1">
      <alignment horizontal="right"/>
    </xf>
    <xf numFmtId="2" fontId="21" fillId="6" borderId="15" xfId="1" applyNumberFormat="1" applyFont="1" applyFill="1" applyBorder="1" applyAlignment="1">
      <alignment horizontal="center"/>
    </xf>
    <xf numFmtId="171" fontId="24" fillId="7" borderId="13" xfId="1" applyNumberFormat="1" applyFont="1" applyFill="1" applyBorder="1" applyAlignment="1">
      <alignment horizontal="center"/>
    </xf>
    <xf numFmtId="171" fontId="21" fillId="2" borderId="0" xfId="1" applyNumberFormat="1" applyFont="1" applyFill="1" applyAlignment="1">
      <alignment horizontal="center"/>
    </xf>
    <xf numFmtId="10" fontId="21" fillId="6" borderId="41" xfId="1" applyNumberFormat="1" applyFont="1" applyFill="1" applyBorder="1" applyAlignment="1">
      <alignment horizontal="center"/>
    </xf>
    <xf numFmtId="0" fontId="21" fillId="2" borderId="43" xfId="1" applyFont="1" applyFill="1" applyBorder="1" applyAlignment="1">
      <alignment horizontal="right"/>
    </xf>
    <xf numFmtId="0" fontId="21" fillId="7" borderId="15" xfId="1" applyFont="1" applyFill="1" applyBorder="1" applyAlignment="1">
      <alignment horizontal="center"/>
    </xf>
    <xf numFmtId="0" fontId="14" fillId="2" borderId="0" xfId="1" applyFont="1" applyFill="1"/>
    <xf numFmtId="0" fontId="24" fillId="2" borderId="0" xfId="1" applyFont="1" applyFill="1" applyAlignment="1">
      <alignment horizontal="left"/>
    </xf>
    <xf numFmtId="0" fontId="21" fillId="2" borderId="0" xfId="1" applyFont="1" applyFill="1" applyAlignment="1">
      <alignment horizontal="left"/>
    </xf>
    <xf numFmtId="172" fontId="25" fillId="3" borderId="0" xfId="1" applyNumberFormat="1" applyFont="1" applyFill="1" applyAlignment="1" applyProtection="1">
      <alignment horizontal="center"/>
      <protection locked="0"/>
    </xf>
    <xf numFmtId="166" fontId="24" fillId="2" borderId="0" xfId="1" applyNumberFormat="1" applyFont="1" applyFill="1" applyAlignment="1" applyProtection="1">
      <alignment horizontal="center"/>
      <protection locked="0"/>
    </xf>
    <xf numFmtId="2" fontId="24" fillId="2" borderId="13" xfId="1" applyNumberFormat="1" applyFont="1" applyFill="1" applyBorder="1" applyAlignment="1">
      <alignment horizontal="center"/>
    </xf>
    <xf numFmtId="0" fontId="24" fillId="2" borderId="13" xfId="1" applyFont="1" applyFill="1" applyBorder="1" applyAlignment="1">
      <alignment horizontal="center"/>
    </xf>
    <xf numFmtId="0" fontId="21" fillId="2" borderId="13" xfId="1" applyFont="1" applyFill="1" applyBorder="1" applyAlignment="1">
      <alignment horizontal="center"/>
    </xf>
    <xf numFmtId="0" fontId="25" fillId="3" borderId="21" xfId="1" applyFont="1" applyFill="1" applyBorder="1" applyAlignment="1" applyProtection="1">
      <alignment horizontal="center"/>
      <protection locked="0"/>
    </xf>
    <xf numFmtId="166" fontId="21" fillId="2" borderId="21" xfId="1" applyNumberFormat="1" applyFont="1" applyFill="1" applyBorder="1" applyAlignment="1">
      <alignment horizontal="center"/>
    </xf>
    <xf numFmtId="10" fontId="21" fillId="2" borderId="13" xfId="1" applyNumberFormat="1" applyFont="1" applyFill="1" applyBorder="1" applyAlignment="1">
      <alignment horizontal="center" vertical="center"/>
    </xf>
    <xf numFmtId="0" fontId="21" fillId="2" borderId="14" xfId="1" applyFont="1" applyFill="1" applyBorder="1" applyAlignment="1">
      <alignment horizontal="center"/>
    </xf>
    <xf numFmtId="166" fontId="21" fillId="2" borderId="23" xfId="1" applyNumberFormat="1" applyFont="1" applyFill="1" applyBorder="1" applyAlignment="1">
      <alignment horizontal="center"/>
    </xf>
    <xf numFmtId="10" fontId="21" fillId="2" borderId="14" xfId="1" applyNumberFormat="1" applyFont="1" applyFill="1" applyBorder="1" applyAlignment="1">
      <alignment horizontal="center" vertical="center"/>
    </xf>
    <xf numFmtId="1" fontId="25" fillId="3" borderId="23" xfId="1" applyNumberFormat="1" applyFont="1" applyFill="1" applyBorder="1" applyAlignment="1" applyProtection="1">
      <alignment horizontal="center"/>
      <protection locked="0"/>
    </xf>
    <xf numFmtId="0" fontId="21" fillId="2" borderId="15" xfId="1" applyFont="1" applyFill="1" applyBorder="1" applyAlignment="1">
      <alignment horizontal="center"/>
    </xf>
    <xf numFmtId="0" fontId="25" fillId="3" borderId="43" xfId="1" applyFont="1" applyFill="1" applyBorder="1" applyAlignment="1" applyProtection="1">
      <alignment horizontal="center"/>
      <protection locked="0"/>
    </xf>
    <xf numFmtId="166" fontId="21" fillId="2" borderId="13" xfId="1" applyNumberFormat="1" applyFont="1" applyFill="1" applyBorder="1" applyAlignment="1">
      <alignment horizontal="center"/>
    </xf>
    <xf numFmtId="10" fontId="21" fillId="2" borderId="22" xfId="1" applyNumberFormat="1" applyFont="1" applyFill="1" applyBorder="1" applyAlignment="1">
      <alignment horizontal="center" vertical="center"/>
    </xf>
    <xf numFmtId="166" fontId="21" fillId="2" borderId="14" xfId="1" applyNumberFormat="1" applyFont="1" applyFill="1" applyBorder="1" applyAlignment="1">
      <alignment horizontal="center"/>
    </xf>
    <xf numFmtId="10" fontId="21" fillId="2" borderId="24" xfId="1" applyNumberFormat="1" applyFont="1" applyFill="1" applyBorder="1" applyAlignment="1">
      <alignment horizontal="center" vertical="center"/>
    </xf>
    <xf numFmtId="166" fontId="21" fillId="2" borderId="15" xfId="1" applyNumberFormat="1" applyFont="1" applyFill="1" applyBorder="1" applyAlignment="1">
      <alignment horizontal="center"/>
    </xf>
    <xf numFmtId="10" fontId="21" fillId="2" borderId="44" xfId="1" applyNumberFormat="1" applyFont="1" applyFill="1" applyBorder="1" applyAlignment="1">
      <alignment horizontal="center" vertical="center"/>
    </xf>
    <xf numFmtId="0" fontId="26" fillId="2" borderId="24" xfId="1" applyFont="1" applyFill="1" applyBorder="1" applyAlignment="1">
      <alignment horizontal="center"/>
    </xf>
    <xf numFmtId="2" fontId="26" fillId="2" borderId="44" xfId="1" applyNumberFormat="1" applyFont="1" applyFill="1" applyBorder="1" applyAlignment="1">
      <alignment horizontal="center"/>
    </xf>
    <xf numFmtId="10" fontId="21" fillId="2" borderId="15" xfId="1" applyNumberFormat="1" applyFont="1" applyFill="1" applyBorder="1" applyAlignment="1">
      <alignment horizontal="center" vertical="center"/>
    </xf>
    <xf numFmtId="0" fontId="21" fillId="2" borderId="45" xfId="1" applyFont="1" applyFill="1" applyBorder="1" applyAlignment="1">
      <alignment horizontal="right"/>
    </xf>
    <xf numFmtId="2" fontId="25" fillId="7" borderId="33" xfId="1" applyNumberFormat="1" applyFont="1" applyFill="1" applyBorder="1" applyAlignment="1">
      <alignment horizontal="center"/>
    </xf>
    <xf numFmtId="10" fontId="25" fillId="7" borderId="33" xfId="1" applyNumberFormat="1" applyFont="1" applyFill="1" applyBorder="1" applyAlignment="1">
      <alignment horizontal="center"/>
    </xf>
    <xf numFmtId="0" fontId="21" fillId="2" borderId="41" xfId="1" applyFont="1" applyFill="1" applyBorder="1" applyAlignment="1">
      <alignment horizontal="right"/>
    </xf>
    <xf numFmtId="10" fontId="25" fillId="6" borderId="57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right"/>
    </xf>
    <xf numFmtId="0" fontId="25" fillId="7" borderId="46" xfId="1" applyFont="1" applyFill="1" applyBorder="1" applyAlignment="1">
      <alignment horizontal="center"/>
    </xf>
    <xf numFmtId="165" fontId="25" fillId="2" borderId="0" xfId="1" applyNumberFormat="1" applyFont="1" applyFill="1" applyAlignment="1">
      <alignment horizontal="center"/>
    </xf>
    <xf numFmtId="0" fontId="24" fillId="2" borderId="47" xfId="1" applyFont="1" applyFill="1" applyBorder="1" applyAlignment="1">
      <alignment horizontal="center"/>
    </xf>
    <xf numFmtId="0" fontId="24" fillId="2" borderId="4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4" fillId="2" borderId="30" xfId="1" applyFont="1" applyFill="1" applyBorder="1" applyAlignment="1">
      <alignment horizontal="center"/>
    </xf>
    <xf numFmtId="0" fontId="21" fillId="2" borderId="48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1" fontId="24" fillId="6" borderId="49" xfId="1" applyNumberFormat="1" applyFont="1" applyFill="1" applyBorder="1" applyAlignment="1">
      <alignment horizontal="center"/>
    </xf>
    <xf numFmtId="1" fontId="24" fillId="6" borderId="50" xfId="1" applyNumberFormat="1" applyFont="1" applyFill="1" applyBorder="1" applyAlignment="1">
      <alignment horizontal="center"/>
    </xf>
    <xf numFmtId="171" fontId="24" fillId="6" borderId="15" xfId="1" applyNumberFormat="1" applyFont="1" applyFill="1" applyBorder="1" applyAlignment="1">
      <alignment horizontal="center"/>
    </xf>
    <xf numFmtId="0" fontId="21" fillId="2" borderId="51" xfId="1" applyFont="1" applyFill="1" applyBorder="1" applyAlignment="1">
      <alignment horizontal="right"/>
    </xf>
    <xf numFmtId="0" fontId="25" fillId="3" borderId="52" xfId="1" applyFont="1" applyFill="1" applyBorder="1" applyAlignment="1" applyProtection="1">
      <alignment horizontal="center"/>
      <protection locked="0"/>
    </xf>
    <xf numFmtId="0" fontId="21" fillId="2" borderId="25" xfId="1" applyFont="1" applyFill="1" applyBorder="1" applyAlignment="1">
      <alignment horizontal="right"/>
    </xf>
    <xf numFmtId="2" fontId="21" fillId="6" borderId="27" xfId="1" applyNumberFormat="1" applyFont="1" applyFill="1" applyBorder="1" applyAlignment="1">
      <alignment horizontal="center"/>
    </xf>
    <xf numFmtId="2" fontId="21" fillId="7" borderId="27" xfId="1" applyNumberFormat="1" applyFont="1" applyFill="1" applyBorder="1" applyAlignment="1">
      <alignment horizontal="center"/>
    </xf>
    <xf numFmtId="166" fontId="21" fillId="6" borderId="27" xfId="1" applyNumberFormat="1" applyFont="1" applyFill="1" applyBorder="1" applyAlignment="1">
      <alignment horizontal="center"/>
    </xf>
    <xf numFmtId="166" fontId="21" fillId="7" borderId="27" xfId="1" applyNumberFormat="1" applyFont="1" applyFill="1" applyBorder="1" applyAlignment="1">
      <alignment horizontal="center"/>
    </xf>
    <xf numFmtId="2" fontId="13" fillId="2" borderId="0" xfId="1" applyNumberFormat="1" applyFont="1" applyFill="1" applyAlignment="1">
      <alignment horizontal="center"/>
    </xf>
    <xf numFmtId="0" fontId="21" fillId="2" borderId="53" xfId="1" applyFont="1" applyFill="1" applyBorder="1" applyAlignment="1">
      <alignment horizontal="right"/>
    </xf>
    <xf numFmtId="2" fontId="21" fillId="7" borderId="30" xfId="1" applyNumberFormat="1" applyFont="1" applyFill="1" applyBorder="1" applyAlignment="1">
      <alignment horizontal="center"/>
    </xf>
    <xf numFmtId="0" fontId="24" fillId="2" borderId="0" xfId="1" applyFont="1" applyFill="1" applyAlignment="1">
      <alignment horizontal="center" wrapText="1"/>
    </xf>
    <xf numFmtId="0" fontId="21" fillId="2" borderId="16" xfId="1" applyFont="1" applyFill="1" applyBorder="1" applyAlignment="1">
      <alignment horizontal="right"/>
    </xf>
    <xf numFmtId="171" fontId="24" fillId="7" borderId="16" xfId="1" applyNumberFormat="1" applyFont="1" applyFill="1" applyBorder="1" applyAlignment="1">
      <alignment horizontal="center"/>
    </xf>
    <xf numFmtId="10" fontId="21" fillId="2" borderId="0" xfId="1" applyNumberFormat="1" applyFont="1" applyFill="1" applyAlignment="1">
      <alignment horizontal="center"/>
    </xf>
    <xf numFmtId="10" fontId="24" fillId="6" borderId="41" xfId="1" applyNumberFormat="1" applyFont="1" applyFill="1" applyBorder="1" applyAlignment="1">
      <alignment horizontal="center"/>
    </xf>
    <xf numFmtId="0" fontId="24" fillId="7" borderId="17" xfId="1" applyFont="1" applyFill="1" applyBorder="1" applyAlignment="1">
      <alignment horizontal="center"/>
    </xf>
    <xf numFmtId="0" fontId="24" fillId="2" borderId="54" xfId="1" applyFont="1" applyFill="1" applyBorder="1" applyAlignment="1">
      <alignment horizontal="center"/>
    </xf>
    <xf numFmtId="0" fontId="24" fillId="2" borderId="55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center" wrapText="1"/>
    </xf>
    <xf numFmtId="0" fontId="21" fillId="2" borderId="23" xfId="1" applyFont="1" applyFill="1" applyBorder="1" applyAlignment="1">
      <alignment horizontal="center"/>
    </xf>
    <xf numFmtId="1" fontId="25" fillId="3" borderId="31" xfId="1" applyNumberFormat="1" applyFont="1" applyFill="1" applyBorder="1" applyAlignment="1" applyProtection="1">
      <alignment horizontal="center"/>
      <protection locked="0"/>
    </xf>
    <xf numFmtId="166" fontId="21" fillId="2" borderId="26" xfId="1" applyNumberFormat="1" applyFont="1" applyFill="1" applyBorder="1" applyAlignment="1">
      <alignment horizontal="center"/>
    </xf>
    <xf numFmtId="10" fontId="21" fillId="2" borderId="30" xfId="1" applyNumberFormat="1" applyFont="1" applyFill="1" applyBorder="1" applyAlignment="1">
      <alignment horizontal="center"/>
    </xf>
    <xf numFmtId="166" fontId="21" fillId="2" borderId="31" xfId="1" applyNumberFormat="1" applyFont="1" applyFill="1" applyBorder="1" applyAlignment="1">
      <alignment horizontal="center"/>
    </xf>
    <xf numFmtId="10" fontId="21" fillId="2" borderId="32" xfId="1" applyNumberFormat="1" applyFont="1" applyFill="1" applyBorder="1" applyAlignment="1">
      <alignment horizontal="center"/>
    </xf>
    <xf numFmtId="0" fontId="21" fillId="2" borderId="34" xfId="1" applyFont="1" applyFill="1" applyBorder="1" applyAlignment="1">
      <alignment horizontal="center"/>
    </xf>
    <xf numFmtId="1" fontId="25" fillId="3" borderId="35" xfId="1" applyNumberFormat="1" applyFont="1" applyFill="1" applyBorder="1" applyAlignment="1" applyProtection="1">
      <alignment horizontal="center"/>
      <protection locked="0"/>
    </xf>
    <xf numFmtId="166" fontId="21" fillId="2" borderId="35" xfId="1" applyNumberFormat="1" applyFont="1" applyFill="1" applyBorder="1" applyAlignment="1">
      <alignment horizontal="center"/>
    </xf>
    <xf numFmtId="10" fontId="21" fillId="2" borderId="36" xfId="1" applyNumberFormat="1" applyFont="1" applyFill="1" applyBorder="1" applyAlignment="1">
      <alignment horizontal="center"/>
    </xf>
    <xf numFmtId="2" fontId="21" fillId="2" borderId="24" xfId="1" applyNumberFormat="1" applyFont="1" applyFill="1" applyBorder="1" applyAlignment="1">
      <alignment horizontal="center"/>
    </xf>
    <xf numFmtId="171" fontId="21" fillId="2" borderId="2" xfId="1" applyNumberFormat="1" applyFont="1" applyFill="1" applyBorder="1" applyAlignment="1">
      <alignment horizontal="right"/>
    </xf>
    <xf numFmtId="2" fontId="25" fillId="7" borderId="27" xfId="1" applyNumberFormat="1" applyFont="1" applyFill="1" applyBorder="1" applyAlignment="1">
      <alignment horizontal="center"/>
    </xf>
    <xf numFmtId="10" fontId="25" fillId="7" borderId="27" xfId="1" applyNumberFormat="1" applyFont="1" applyFill="1" applyBorder="1" applyAlignment="1">
      <alignment horizontal="center"/>
    </xf>
    <xf numFmtId="0" fontId="21" fillId="2" borderId="23" xfId="1" applyFont="1" applyFill="1" applyBorder="1"/>
    <xf numFmtId="10" fontId="25" fillId="6" borderId="27" xfId="1" applyNumberFormat="1" applyFont="1" applyFill="1" applyBorder="1" applyAlignment="1">
      <alignment horizontal="center"/>
    </xf>
    <xf numFmtId="0" fontId="21" fillId="2" borderId="43" xfId="1" applyFont="1" applyFill="1" applyBorder="1"/>
    <xf numFmtId="0" fontId="21" fillId="2" borderId="56" xfId="1" applyFont="1" applyFill="1" applyBorder="1" applyAlignment="1">
      <alignment horizontal="right"/>
    </xf>
    <xf numFmtId="0" fontId="25" fillId="7" borderId="17" xfId="1" applyFont="1" applyFill="1" applyBorder="1" applyAlignment="1">
      <alignment horizontal="center"/>
    </xf>
    <xf numFmtId="0" fontId="22" fillId="2" borderId="0" xfId="1" applyFont="1" applyFill="1" applyAlignment="1">
      <alignment horizontal="right" vertical="center" wrapText="1"/>
    </xf>
    <xf numFmtId="0" fontId="22" fillId="2" borderId="9" xfId="1" applyFont="1" applyFill="1" applyBorder="1" applyAlignment="1">
      <alignment horizontal="left" vertical="center" wrapText="1"/>
    </xf>
    <xf numFmtId="0" fontId="21" fillId="2" borderId="9" xfId="1" applyFont="1" applyFill="1" applyBorder="1"/>
    <xf numFmtId="0" fontId="21" fillId="2" borderId="10" xfId="1" applyFont="1" applyFill="1" applyBorder="1" applyAlignment="1">
      <alignment horizontal="center"/>
    </xf>
    <xf numFmtId="0" fontId="21" fillId="2" borderId="7" xfId="1" applyFont="1" applyFill="1" applyBorder="1"/>
    <xf numFmtId="0" fontId="24" fillId="2" borderId="11" xfId="1" applyFont="1" applyFill="1" applyBorder="1"/>
    <xf numFmtId="0" fontId="21" fillId="2" borderId="11" xfId="1" applyFont="1" applyFill="1" applyBorder="1"/>
    <xf numFmtId="171" fontId="25" fillId="3" borderId="34" xfId="1" applyNumberFormat="1" applyFont="1" applyFill="1" applyBorder="1" applyAlignment="1" applyProtection="1">
      <alignment horizontal="center"/>
      <protection locked="0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14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10" fontId="27" fillId="2" borderId="14" xfId="1" applyNumberFormat="1" applyFont="1" applyFill="1" applyBorder="1" applyAlignment="1">
      <alignment horizontal="center" vertical="center"/>
    </xf>
    <xf numFmtId="0" fontId="22" fillId="2" borderId="21" xfId="1" applyFont="1" applyFill="1" applyBorder="1" applyAlignment="1">
      <alignment horizontal="left" vertical="center" wrapText="1"/>
    </xf>
    <xf numFmtId="0" fontId="22" fillId="2" borderId="10" xfId="1" applyFont="1" applyFill="1" applyBorder="1" applyAlignment="1">
      <alignment horizontal="left" vertical="center" wrapText="1"/>
    </xf>
    <xf numFmtId="0" fontId="22" fillId="2" borderId="43" xfId="1" applyFont="1" applyFill="1" applyBorder="1" applyAlignment="1">
      <alignment horizontal="left" vertical="center" wrapText="1"/>
    </xf>
    <xf numFmtId="0" fontId="22" fillId="2" borderId="9" xfId="1" applyFont="1" applyFill="1" applyBorder="1" applyAlignment="1">
      <alignment horizontal="left" vertical="center" wrapText="1"/>
    </xf>
    <xf numFmtId="0" fontId="22" fillId="2" borderId="22" xfId="1" applyFont="1" applyFill="1" applyBorder="1" applyAlignment="1">
      <alignment horizontal="left" vertical="center" wrapText="1"/>
    </xf>
    <xf numFmtId="0" fontId="22" fillId="2" borderId="44" xfId="1" applyFont="1" applyFill="1" applyBorder="1" applyAlignment="1">
      <alignment horizontal="left" vertical="center" wrapText="1"/>
    </xf>
    <xf numFmtId="0" fontId="24" fillId="2" borderId="0" xfId="1" applyFont="1" applyFill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5" fillId="3" borderId="0" xfId="1" applyFont="1" applyFill="1" applyAlignment="1" applyProtection="1">
      <alignment horizontal="left"/>
      <protection locked="0"/>
    </xf>
    <xf numFmtId="0" fontId="22" fillId="2" borderId="18" xfId="1" applyFont="1" applyFill="1" applyBorder="1" applyAlignment="1">
      <alignment horizontal="justify" vertical="center" wrapText="1"/>
    </xf>
    <xf numFmtId="0" fontId="22" fillId="2" borderId="19" xfId="1" applyFont="1" applyFill="1" applyBorder="1" applyAlignment="1">
      <alignment horizontal="justify" vertical="center" wrapText="1"/>
    </xf>
    <xf numFmtId="0" fontId="22" fillId="2" borderId="20" xfId="1" applyFont="1" applyFill="1" applyBorder="1" applyAlignment="1">
      <alignment horizontal="justify" vertical="center" wrapText="1"/>
    </xf>
    <xf numFmtId="0" fontId="22" fillId="2" borderId="18" xfId="1" applyFont="1" applyFill="1" applyBorder="1" applyAlignment="1">
      <alignment horizontal="left" vertical="center" wrapText="1"/>
    </xf>
    <xf numFmtId="0" fontId="22" fillId="2" borderId="19" xfId="1" applyFont="1" applyFill="1" applyBorder="1" applyAlignment="1">
      <alignment horizontal="left" vertical="center" wrapText="1"/>
    </xf>
    <xf numFmtId="0" fontId="22" fillId="2" borderId="20" xfId="1" applyFont="1" applyFill="1" applyBorder="1" applyAlignment="1">
      <alignment horizontal="left" vertical="center" wrapText="1"/>
    </xf>
    <xf numFmtId="0" fontId="24" fillId="2" borderId="47" xfId="1" applyFont="1" applyFill="1" applyBorder="1" applyAlignment="1">
      <alignment horizontal="center"/>
    </xf>
    <xf numFmtId="0" fontId="24" fillId="2" borderId="58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2" fontId="25" fillId="3" borderId="13" xfId="1" applyNumberFormat="1" applyFont="1" applyFill="1" applyBorder="1" applyAlignment="1" applyProtection="1">
      <alignment horizontal="center" vertical="center"/>
      <protection locked="0"/>
    </xf>
    <xf numFmtId="2" fontId="25" fillId="3" borderId="14" xfId="1" applyNumberFormat="1" applyFont="1" applyFill="1" applyBorder="1" applyAlignment="1" applyProtection="1">
      <alignment horizontal="center" vertical="center"/>
      <protection locked="0"/>
    </xf>
    <xf numFmtId="2" fontId="25" fillId="3" borderId="15" xfId="1" applyNumberFormat="1" applyFont="1" applyFill="1" applyBorder="1" applyAlignment="1" applyProtection="1">
      <alignment horizontal="center" vertical="center"/>
      <protection locked="0"/>
    </xf>
    <xf numFmtId="0" fontId="24" fillId="2" borderId="43" xfId="1" applyFont="1" applyFill="1" applyBorder="1" applyAlignment="1">
      <alignment horizontal="center" vertical="center"/>
    </xf>
    <xf numFmtId="0" fontId="22" fillId="2" borderId="21" xfId="1" applyFont="1" applyFill="1" applyBorder="1" applyAlignment="1">
      <alignment horizontal="center" vertical="center" wrapText="1"/>
    </xf>
    <xf numFmtId="0" fontId="22" fillId="2" borderId="22" xfId="1" applyFont="1" applyFill="1" applyBorder="1" applyAlignment="1">
      <alignment horizontal="center" vertical="center" wrapText="1"/>
    </xf>
    <xf numFmtId="0" fontId="22" fillId="2" borderId="43" xfId="1" applyFont="1" applyFill="1" applyBorder="1" applyAlignment="1">
      <alignment horizontal="center" vertical="center" wrapText="1"/>
    </xf>
    <xf numFmtId="0" fontId="22" fillId="2" borderId="44" xfId="1" applyFont="1" applyFill="1" applyBorder="1" applyAlignment="1">
      <alignment horizontal="center" vertical="center" wrapText="1"/>
    </xf>
    <xf numFmtId="0" fontId="24" fillId="2" borderId="40" xfId="1" applyFont="1" applyFill="1" applyBorder="1" applyAlignment="1">
      <alignment horizontal="center"/>
    </xf>
    <xf numFmtId="0" fontId="26" fillId="3" borderId="0" xfId="1" applyFont="1" applyFill="1" applyAlignment="1" applyProtection="1">
      <alignment horizontal="left" wrapText="1"/>
      <protection locked="0"/>
    </xf>
    <xf numFmtId="0" fontId="25" fillId="3" borderId="0" xfId="1" applyFont="1" applyFill="1" applyAlignment="1" applyProtection="1">
      <alignment horizontal="left" wrapText="1"/>
      <protection locked="0"/>
    </xf>
    <xf numFmtId="0" fontId="26" fillId="3" borderId="0" xfId="1" applyFont="1" applyFill="1" applyAlignment="1" applyProtection="1">
      <alignment horizontal="left"/>
      <protection locked="0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2" fillId="2" borderId="18" xfId="1" applyFont="1" applyFill="1" applyBorder="1" applyAlignment="1">
      <alignment horizontal="center"/>
    </xf>
    <xf numFmtId="0" fontId="22" fillId="2" borderId="19" xfId="1" applyFont="1" applyFill="1" applyBorder="1" applyAlignment="1">
      <alignment horizontal="center"/>
    </xf>
    <xf numFmtId="0" fontId="22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9" fillId="3" borderId="0" xfId="1" applyFont="1" applyFill="1" applyAlignment="1" applyProtection="1">
      <alignment horizontal="left" wrapText="1"/>
      <protection locked="0"/>
    </xf>
    <xf numFmtId="0" fontId="10" fillId="3" borderId="0" xfId="1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topLeftCell="A22" workbookViewId="0">
      <selection activeCell="D44" sqref="D44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59" t="s">
        <v>26</v>
      </c>
      <c r="B11" s="260"/>
      <c r="C11" s="260"/>
      <c r="D11" s="260"/>
      <c r="E11" s="260"/>
      <c r="F11" s="261"/>
      <c r="G11" s="41"/>
    </row>
    <row r="12" spans="1:7" ht="16.5" customHeight="1">
      <c r="A12" s="258" t="s">
        <v>27</v>
      </c>
      <c r="B12" s="258"/>
      <c r="C12" s="258"/>
      <c r="D12" s="258"/>
      <c r="E12" s="258"/>
      <c r="F12" s="258"/>
      <c r="G12" s="40"/>
    </row>
    <row r="14" spans="1:7" ht="16.5" customHeight="1">
      <c r="A14" s="263" t="s">
        <v>28</v>
      </c>
      <c r="B14" s="263"/>
      <c r="C14" s="10" t="s">
        <v>4</v>
      </c>
    </row>
    <row r="15" spans="1:7" ht="16.5" customHeight="1">
      <c r="A15" s="263" t="s">
        <v>29</v>
      </c>
      <c r="B15" s="263"/>
      <c r="C15" s="10" t="s">
        <v>6</v>
      </c>
    </row>
    <row r="16" spans="1:7" ht="16.5" customHeight="1">
      <c r="A16" s="263" t="s">
        <v>30</v>
      </c>
      <c r="B16" s="263"/>
      <c r="C16" s="10" t="s">
        <v>8</v>
      </c>
    </row>
    <row r="17" spans="1:5" ht="16.5" customHeight="1">
      <c r="A17" s="263" t="s">
        <v>31</v>
      </c>
      <c r="B17" s="263"/>
      <c r="C17" s="10" t="s">
        <v>10</v>
      </c>
    </row>
    <row r="18" spans="1:5" ht="16.5" customHeight="1">
      <c r="A18" s="263" t="s">
        <v>32</v>
      </c>
      <c r="B18" s="263"/>
      <c r="C18" s="47" t="s">
        <v>11</v>
      </c>
    </row>
    <row r="19" spans="1:5" ht="16.5" customHeight="1">
      <c r="A19" s="263" t="s">
        <v>33</v>
      </c>
      <c r="B19" s="263"/>
      <c r="C19" s="47" t="str">
        <f>#REF!</f>
        <v>0</v>
      </c>
    </row>
    <row r="20" spans="1:5" ht="16.5" customHeight="1">
      <c r="A20" s="12"/>
      <c r="B20" s="12"/>
      <c r="C20" s="27"/>
    </row>
    <row r="21" spans="1:5" ht="16.5" customHeight="1">
      <c r="A21" s="258" t="s">
        <v>1</v>
      </c>
      <c r="B21" s="258"/>
      <c r="C21" s="9" t="s">
        <v>34</v>
      </c>
      <c r="D21" s="16"/>
    </row>
    <row r="22" spans="1:5" ht="15.75" customHeight="1">
      <c r="A22" s="262"/>
      <c r="B22" s="262"/>
      <c r="C22" s="7"/>
      <c r="D22" s="262"/>
      <c r="E22" s="262"/>
    </row>
    <row r="23" spans="1:5" ht="33.75" customHeight="1">
      <c r="C23" s="36" t="s">
        <v>35</v>
      </c>
      <c r="D23" s="35" t="s">
        <v>36</v>
      </c>
      <c r="E23" s="2"/>
    </row>
    <row r="24" spans="1:5" ht="15.75" customHeight="1">
      <c r="C24" s="45">
        <v>1030.8399999999999</v>
      </c>
      <c r="D24" s="37">
        <f t="shared" ref="D24:D43" si="0">(C24-$C$46)/$C$46</f>
        <v>-9.9514839346658002E-3</v>
      </c>
      <c r="E24" s="3"/>
    </row>
    <row r="25" spans="1:5" ht="15.75" customHeight="1">
      <c r="C25" s="45">
        <v>1026.81</v>
      </c>
      <c r="D25" s="38">
        <f t="shared" si="0"/>
        <v>-1.3822012357838E-2</v>
      </c>
      <c r="E25" s="3"/>
    </row>
    <row r="26" spans="1:5" ht="15.75" customHeight="1">
      <c r="C26" s="45">
        <v>1052.0899999999999</v>
      </c>
      <c r="D26" s="38">
        <f t="shared" si="0"/>
        <v>1.0457629959235E-2</v>
      </c>
      <c r="E26" s="3"/>
    </row>
    <row r="27" spans="1:5" ht="15.75" customHeight="1">
      <c r="C27" s="45">
        <v>1035.05</v>
      </c>
      <c r="D27" s="38">
        <f t="shared" si="0"/>
        <v>-5.9080783114507001E-3</v>
      </c>
      <c r="E27" s="3"/>
    </row>
    <row r="28" spans="1:5" ht="15.75" customHeight="1">
      <c r="C28" s="45">
        <v>1040.93</v>
      </c>
      <c r="D28" s="38">
        <f t="shared" si="0"/>
        <v>-2.6075644339719999E-4</v>
      </c>
      <c r="E28" s="3"/>
    </row>
    <row r="29" spans="1:5" ht="15.75" customHeight="1">
      <c r="C29" s="45">
        <v>1058.8699999999999</v>
      </c>
      <c r="D29" s="38">
        <f t="shared" si="0"/>
        <v>1.69693378275E-2</v>
      </c>
      <c r="E29" s="3"/>
    </row>
    <row r="30" spans="1:5" ht="15.75" customHeight="1">
      <c r="C30" s="45">
        <v>1038.3900000000001</v>
      </c>
      <c r="D30" s="38">
        <f t="shared" si="0"/>
        <v>-2.700245821774E-3</v>
      </c>
      <c r="E30" s="3"/>
    </row>
    <row r="31" spans="1:5" ht="15.75" customHeight="1">
      <c r="C31" s="45">
        <v>1040.6400000000001</v>
      </c>
      <c r="D31" s="38">
        <f t="shared" si="0"/>
        <v>-5.3928082124333999E-4</v>
      </c>
      <c r="E31" s="3"/>
    </row>
    <row r="32" spans="1:5" ht="15.75" customHeight="1">
      <c r="C32" s="45">
        <v>1054.44</v>
      </c>
      <c r="D32" s="38">
        <f t="shared" si="0"/>
        <v>1.2714637848678E-2</v>
      </c>
      <c r="E32" s="3"/>
    </row>
    <row r="33" spans="1:7" ht="15.75" customHeight="1">
      <c r="C33" s="45">
        <v>1013.21</v>
      </c>
      <c r="D33" s="38">
        <f t="shared" si="0"/>
        <v>-2.6883845249935E-2</v>
      </c>
      <c r="E33" s="3"/>
    </row>
    <row r="34" spans="1:7" ht="15.75" customHeight="1">
      <c r="C34" s="45">
        <v>1027.2</v>
      </c>
      <c r="D34" s="38">
        <f t="shared" si="0"/>
        <v>-1.344744509108E-2</v>
      </c>
      <c r="E34" s="3"/>
    </row>
    <row r="35" spans="1:7" ht="15.75" customHeight="1">
      <c r="C35" s="45">
        <v>1038.24</v>
      </c>
      <c r="D35" s="38">
        <f t="shared" si="0"/>
        <v>-2.8443101551428001E-3</v>
      </c>
      <c r="E35" s="3"/>
    </row>
    <row r="36" spans="1:7" ht="15.75" customHeight="1">
      <c r="C36" s="45">
        <v>1053.97</v>
      </c>
      <c r="D36" s="38">
        <f t="shared" si="0"/>
        <v>1.2263236270788999E-2</v>
      </c>
      <c r="E36" s="3"/>
    </row>
    <row r="37" spans="1:7" ht="15.75" customHeight="1">
      <c r="C37" s="45">
        <v>1046.4000000000001</v>
      </c>
      <c r="D37" s="38">
        <f t="shared" si="0"/>
        <v>4.9927895801151001E-3</v>
      </c>
      <c r="E37" s="3"/>
    </row>
    <row r="38" spans="1:7" ht="15.75" customHeight="1">
      <c r="C38" s="45">
        <v>1039.32</v>
      </c>
      <c r="D38" s="38">
        <f t="shared" si="0"/>
        <v>-1.8070469548881001E-3</v>
      </c>
      <c r="E38" s="3"/>
    </row>
    <row r="39" spans="1:7" ht="15.75" customHeight="1">
      <c r="C39" s="45">
        <v>1033.3399999999999</v>
      </c>
      <c r="D39" s="38">
        <f t="shared" si="0"/>
        <v>-7.5504117118540002E-3</v>
      </c>
      <c r="E39" s="3"/>
    </row>
    <row r="40" spans="1:7" ht="15.75" customHeight="1">
      <c r="C40" s="45">
        <v>1040.79</v>
      </c>
      <c r="D40" s="38">
        <f t="shared" si="0"/>
        <v>-3.9521648787476001E-4</v>
      </c>
      <c r="E40" s="3"/>
    </row>
    <row r="41" spans="1:7" ht="15.75" customHeight="1">
      <c r="C41" s="45">
        <v>1036.27</v>
      </c>
      <c r="D41" s="38">
        <f t="shared" si="0"/>
        <v>-4.7363550667184999E-3</v>
      </c>
      <c r="E41" s="3"/>
    </row>
    <row r="42" spans="1:7" ht="15.75" customHeight="1">
      <c r="C42" s="45">
        <v>1067.94</v>
      </c>
      <c r="D42" s="38">
        <f t="shared" si="0"/>
        <v>2.5680427851862E-2</v>
      </c>
      <c r="E42" s="3"/>
    </row>
    <row r="43" spans="1:7" ht="16.5" customHeight="1">
      <c r="C43" s="46">
        <v>1049.29</v>
      </c>
      <c r="D43" s="39">
        <f t="shared" si="0"/>
        <v>7.7684290696854001E-3</v>
      </c>
      <c r="E43" s="3"/>
    </row>
    <row r="44" spans="1:7" ht="16.5" customHeight="1">
      <c r="C44" s="4"/>
      <c r="D44" s="3"/>
      <c r="E44" s="5"/>
    </row>
    <row r="45" spans="1:7" ht="16.5" customHeight="1">
      <c r="B45" s="32" t="s">
        <v>37</v>
      </c>
      <c r="C45" s="33">
        <f>SUM(C24:C44)</f>
        <v>20824.03</v>
      </c>
      <c r="D45" s="28"/>
      <c r="E45" s="4"/>
    </row>
    <row r="46" spans="1:7" ht="17.25" customHeight="1">
      <c r="B46" s="32" t="s">
        <v>38</v>
      </c>
      <c r="C46" s="34">
        <f>AVERAGE(C24:C44)</f>
        <v>1041.2014999999999</v>
      </c>
      <c r="E46" s="6"/>
    </row>
    <row r="47" spans="1:7" ht="17.25" customHeight="1">
      <c r="A47" s="10"/>
      <c r="B47" s="29"/>
      <c r="D47" s="8"/>
      <c r="E47" s="6"/>
    </row>
    <row r="48" spans="1:7" ht="33.75" customHeight="1">
      <c r="B48" s="42" t="s">
        <v>38</v>
      </c>
      <c r="C48" s="35" t="s">
        <v>39</v>
      </c>
      <c r="D48" s="30"/>
      <c r="G48" s="8"/>
    </row>
    <row r="49" spans="1:6" ht="17.25" customHeight="1">
      <c r="B49" s="256">
        <f>C46</f>
        <v>1041.2014999999999</v>
      </c>
      <c r="C49" s="43">
        <f>-IF(C46&lt;=80,10%,IF(C46&lt;250,7.5%,5%))</f>
        <v>-0.05</v>
      </c>
      <c r="D49" s="31">
        <f>IF(C46&lt;=80,C46*0.9,IF(C46&lt;250,C46*0.925,C46*0.95))</f>
        <v>989.14142500000003</v>
      </c>
    </row>
    <row r="50" spans="1:6" ht="17.25" customHeight="1">
      <c r="B50" s="257"/>
      <c r="C50" s="44">
        <f>IF(C46&lt;=80, 10%, IF(C46&lt;250, 7.5%, 5%))</f>
        <v>0.05</v>
      </c>
      <c r="D50" s="31">
        <f>IF(C46&lt;=80, C46*1.1, IF(C46&lt;250, C46*1.075, C46*1.05))</f>
        <v>1093.261575</v>
      </c>
    </row>
    <row r="51" spans="1:6" ht="16.5" customHeight="1">
      <c r="A51" s="13"/>
      <c r="B51" s="14"/>
      <c r="C51" s="10"/>
      <c r="D51" s="15"/>
      <c r="E51" s="10"/>
      <c r="F51" s="16"/>
    </row>
    <row r="52" spans="1:6" ht="16.5" customHeight="1">
      <c r="A52" s="10"/>
      <c r="B52" s="17" t="s">
        <v>21</v>
      </c>
      <c r="C52" s="17"/>
      <c r="D52" s="18" t="s">
        <v>22</v>
      </c>
      <c r="E52" s="19"/>
      <c r="F52" s="18" t="s">
        <v>23</v>
      </c>
    </row>
    <row r="53" spans="1:6" ht="34.5" customHeight="1">
      <c r="A53" s="20" t="s">
        <v>24</v>
      </c>
      <c r="B53" s="21"/>
      <c r="C53" s="22"/>
      <c r="D53" s="21"/>
      <c r="E53" s="11"/>
      <c r="F53" s="23"/>
    </row>
    <row r="54" spans="1:6" ht="34.5" customHeight="1">
      <c r="A54" s="20" t="s">
        <v>25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60" workbookViewId="0">
      <selection activeCell="C32" sqref="C32:H32"/>
    </sheetView>
  </sheetViews>
  <sheetFormatPr defaultRowHeight="13.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51"/>
  </cols>
  <sheetData>
    <row r="1" spans="1:10" ht="15" customHeight="1">
      <c r="A1" s="48"/>
      <c r="C1" s="50"/>
      <c r="F1" s="50"/>
    </row>
    <row r="2" spans="1:10" ht="18.75" customHeight="1">
      <c r="A2" s="264" t="s">
        <v>0</v>
      </c>
      <c r="B2" s="264"/>
      <c r="C2" s="264"/>
      <c r="D2" s="264"/>
      <c r="E2" s="264"/>
    </row>
    <row r="3" spans="1:10" ht="16.5" customHeight="1">
      <c r="A3" s="52" t="s">
        <v>1</v>
      </c>
      <c r="B3" s="53" t="s">
        <v>103</v>
      </c>
    </row>
    <row r="4" spans="1:10" ht="16.5" customHeight="1">
      <c r="A4" s="54" t="s">
        <v>2</v>
      </c>
      <c r="B4" s="54" t="s">
        <v>104</v>
      </c>
      <c r="D4" s="55"/>
      <c r="E4" s="56"/>
    </row>
    <row r="5" spans="1:10" ht="16.5" customHeight="1">
      <c r="A5" s="57" t="s">
        <v>3</v>
      </c>
      <c r="B5" s="54" t="s">
        <v>105</v>
      </c>
      <c r="C5" s="56"/>
      <c r="D5" s="56"/>
      <c r="E5" s="56"/>
    </row>
    <row r="6" spans="1:10" ht="16.5" customHeight="1">
      <c r="A6" s="57" t="s">
        <v>5</v>
      </c>
      <c r="B6" s="58">
        <v>99.8</v>
      </c>
      <c r="C6" s="56"/>
      <c r="D6" s="56"/>
      <c r="E6" s="56"/>
    </row>
    <row r="7" spans="1:10" ht="16.5" customHeight="1">
      <c r="A7" s="54" t="s">
        <v>7</v>
      </c>
      <c r="B7" s="58">
        <v>18.22</v>
      </c>
      <c r="C7" s="56"/>
      <c r="D7" s="56"/>
      <c r="E7" s="56"/>
    </row>
    <row r="8" spans="1:10" ht="16.5" customHeight="1">
      <c r="A8" s="54" t="s">
        <v>9</v>
      </c>
      <c r="B8" s="59">
        <f>B7/50*10/20</f>
        <v>0.1822</v>
      </c>
      <c r="C8" s="56"/>
      <c r="D8" s="56"/>
      <c r="E8" s="56"/>
    </row>
    <row r="9" spans="1:10" ht="15.75" customHeight="1">
      <c r="A9" s="56"/>
      <c r="B9" s="56"/>
      <c r="C9" s="56"/>
      <c r="D9" s="56"/>
      <c r="E9" s="56"/>
    </row>
    <row r="10" spans="1:10" ht="16.5" customHeight="1">
      <c r="A10" s="60" t="s">
        <v>12</v>
      </c>
      <c r="B10" s="61" t="s">
        <v>13</v>
      </c>
      <c r="C10" s="60" t="s">
        <v>14</v>
      </c>
      <c r="D10" s="60" t="s">
        <v>15</v>
      </c>
      <c r="E10" s="60" t="s">
        <v>16</v>
      </c>
      <c r="F10" s="62" t="s">
        <v>106</v>
      </c>
      <c r="J10" s="49"/>
    </row>
    <row r="11" spans="1:10" ht="16.5" customHeight="1">
      <c r="A11" s="63">
        <v>1</v>
      </c>
      <c r="B11" s="64">
        <v>174299884</v>
      </c>
      <c r="C11" s="64">
        <v>4417.12</v>
      </c>
      <c r="D11" s="65">
        <v>0.81</v>
      </c>
      <c r="E11" s="66">
        <v>9.94</v>
      </c>
      <c r="F11" s="66">
        <v>11.15</v>
      </c>
      <c r="J11" s="49"/>
    </row>
    <row r="12" spans="1:10" ht="16.5" customHeight="1">
      <c r="A12" s="63">
        <v>2</v>
      </c>
      <c r="B12" s="64">
        <v>175380774</v>
      </c>
      <c r="C12" s="64">
        <v>4538.7700000000004</v>
      </c>
      <c r="D12" s="65">
        <v>0.82</v>
      </c>
      <c r="E12" s="65">
        <v>9.94</v>
      </c>
      <c r="F12" s="65">
        <v>11.26</v>
      </c>
      <c r="J12" s="49"/>
    </row>
    <row r="13" spans="1:10" ht="16.5" customHeight="1">
      <c r="A13" s="63">
        <v>3</v>
      </c>
      <c r="B13" s="64">
        <v>175168254</v>
      </c>
      <c r="C13" s="64">
        <v>4569.5600000000004</v>
      </c>
      <c r="D13" s="65">
        <v>0.82</v>
      </c>
      <c r="E13" s="65">
        <v>9.9499999999999993</v>
      </c>
      <c r="F13" s="65">
        <v>11.32</v>
      </c>
      <c r="J13" s="49"/>
    </row>
    <row r="14" spans="1:10" ht="16.5" customHeight="1">
      <c r="A14" s="63">
        <v>4</v>
      </c>
      <c r="B14" s="64">
        <v>174473863</v>
      </c>
      <c r="C14" s="64">
        <v>4444.6499999999996</v>
      </c>
      <c r="D14" s="65">
        <v>0.81</v>
      </c>
      <c r="E14" s="65">
        <v>9.9499999999999993</v>
      </c>
      <c r="F14" s="65">
        <v>11.2</v>
      </c>
      <c r="J14" s="49"/>
    </row>
    <row r="15" spans="1:10" ht="16.5" customHeight="1">
      <c r="A15" s="63">
        <v>5</v>
      </c>
      <c r="B15" s="64">
        <v>174958067</v>
      </c>
      <c r="C15" s="64">
        <v>4369.9399999999996</v>
      </c>
      <c r="D15" s="65">
        <v>0.81</v>
      </c>
      <c r="E15" s="65">
        <v>9.9499999999999993</v>
      </c>
      <c r="F15" s="65">
        <v>11.12</v>
      </c>
      <c r="J15" s="49"/>
    </row>
    <row r="16" spans="1:10" ht="16.5" customHeight="1">
      <c r="A16" s="63">
        <v>6</v>
      </c>
      <c r="B16" s="67">
        <v>174337487</v>
      </c>
      <c r="C16" s="67">
        <v>4327.78</v>
      </c>
      <c r="D16" s="68">
        <v>0.81</v>
      </c>
      <c r="E16" s="68">
        <v>9.9499999999999993</v>
      </c>
      <c r="F16" s="68">
        <v>11.06</v>
      </c>
      <c r="J16" s="49"/>
    </row>
    <row r="17" spans="1:10" ht="16.5" customHeight="1">
      <c r="A17" s="69" t="s">
        <v>17</v>
      </c>
      <c r="B17" s="70">
        <f>AVERAGE(B11:B16)</f>
        <v>174769721.5</v>
      </c>
      <c r="C17" s="71">
        <f>AVERAGE(C11:C16)</f>
        <v>4444.6366666666663</v>
      </c>
      <c r="D17" s="72">
        <f>AVERAGE(D11:D16)</f>
        <v>0.81333333333333346</v>
      </c>
      <c r="E17" s="72">
        <f>AVERAGE(E11:E16)</f>
        <v>9.9466666666666672</v>
      </c>
      <c r="F17" s="72">
        <f>AVERAGE(F11:F16)</f>
        <v>11.185</v>
      </c>
      <c r="J17" s="49"/>
    </row>
    <row r="18" spans="1:10" ht="16.5" customHeight="1">
      <c r="A18" s="73" t="s">
        <v>18</v>
      </c>
      <c r="B18" s="74">
        <f>(STDEV(B11:B16)/B17)</f>
        <v>2.637990666375674E-3</v>
      </c>
      <c r="C18" s="75"/>
      <c r="D18" s="75"/>
      <c r="E18" s="75"/>
      <c r="F18" s="76"/>
      <c r="J18" s="49"/>
    </row>
    <row r="19" spans="1:10" s="49" customFormat="1" ht="16.5" customHeight="1">
      <c r="A19" s="77" t="s">
        <v>19</v>
      </c>
      <c r="B19" s="78" t="s">
        <v>6</v>
      </c>
      <c r="C19" s="79"/>
      <c r="D19" s="80"/>
      <c r="E19" s="80"/>
      <c r="F19" s="81"/>
    </row>
    <row r="20" spans="1:10" s="49" customFormat="1" ht="15.75" customHeight="1">
      <c r="A20" s="56"/>
      <c r="B20" s="56"/>
      <c r="C20" s="56"/>
      <c r="D20" s="56"/>
      <c r="E20" s="56"/>
    </row>
    <row r="21" spans="1:10" s="49" customFormat="1" ht="16.5" customHeight="1">
      <c r="A21" s="57" t="s">
        <v>20</v>
      </c>
      <c r="B21" s="82" t="s">
        <v>107</v>
      </c>
      <c r="C21" s="83"/>
      <c r="D21" s="83"/>
      <c r="E21" s="83"/>
    </row>
    <row r="22" spans="1:10" ht="16.5" customHeight="1">
      <c r="A22" s="57"/>
      <c r="B22" s="82" t="s">
        <v>108</v>
      </c>
      <c r="C22" s="83"/>
      <c r="D22" s="83"/>
      <c r="E22" s="83"/>
    </row>
    <row r="23" spans="1:10" ht="16.5" customHeight="1">
      <c r="A23" s="57"/>
      <c r="B23" s="82" t="s">
        <v>109</v>
      </c>
      <c r="C23" s="83"/>
      <c r="D23" s="83"/>
      <c r="E23" s="83"/>
    </row>
    <row r="24" spans="1:10" ht="16.5" customHeight="1">
      <c r="A24" s="57"/>
      <c r="B24" s="84" t="s">
        <v>110</v>
      </c>
      <c r="C24" s="83"/>
      <c r="D24" s="83"/>
      <c r="E24" s="83"/>
    </row>
    <row r="25" spans="1:10" ht="15.75" customHeight="1">
      <c r="A25" s="56"/>
      <c r="C25" s="56"/>
      <c r="D25" s="56"/>
      <c r="E25" s="56"/>
    </row>
    <row r="26" spans="1:10" ht="16.5" customHeight="1">
      <c r="A26" s="52" t="s">
        <v>1</v>
      </c>
      <c r="B26" s="53" t="s">
        <v>103</v>
      </c>
    </row>
    <row r="27" spans="1:10" ht="16.5" customHeight="1">
      <c r="A27" s="57" t="s">
        <v>3</v>
      </c>
      <c r="B27" s="54" t="s">
        <v>111</v>
      </c>
      <c r="C27" s="56"/>
      <c r="D27" s="56"/>
      <c r="E27" s="56"/>
    </row>
    <row r="28" spans="1:10" ht="16.5" customHeight="1">
      <c r="A28" s="57" t="s">
        <v>5</v>
      </c>
      <c r="B28" s="58">
        <v>99.6</v>
      </c>
      <c r="C28" s="56"/>
      <c r="D28" s="56"/>
      <c r="E28" s="56"/>
    </row>
    <row r="29" spans="1:10" ht="16.5" customHeight="1">
      <c r="A29" s="54" t="s">
        <v>7</v>
      </c>
      <c r="B29" s="58">
        <v>26.94</v>
      </c>
      <c r="C29" s="56"/>
      <c r="D29" s="56"/>
      <c r="E29" s="56"/>
    </row>
    <row r="30" spans="1:10" ht="16.5" customHeight="1">
      <c r="A30" s="54" t="s">
        <v>9</v>
      </c>
      <c r="B30" s="59">
        <f>B29/100*3/20</f>
        <v>4.0410000000000001E-2</v>
      </c>
      <c r="C30" s="56"/>
      <c r="D30" s="56"/>
      <c r="E30" s="56"/>
    </row>
    <row r="31" spans="1:10" ht="15.75" customHeight="1">
      <c r="A31" s="56"/>
      <c r="B31" s="56"/>
      <c r="C31" s="56"/>
      <c r="D31" s="56"/>
      <c r="E31" s="56"/>
    </row>
    <row r="32" spans="1:10" ht="16.5" customHeight="1">
      <c r="A32" s="60" t="s">
        <v>12</v>
      </c>
      <c r="B32" s="61" t="s">
        <v>13</v>
      </c>
      <c r="C32" s="60" t="s">
        <v>14</v>
      </c>
      <c r="D32" s="60" t="s">
        <v>15</v>
      </c>
      <c r="E32" s="60" t="s">
        <v>16</v>
      </c>
    </row>
    <row r="33" spans="1:7" ht="16.5" customHeight="1">
      <c r="A33" s="63">
        <v>1</v>
      </c>
      <c r="B33" s="64">
        <v>15312204</v>
      </c>
      <c r="C33" s="64">
        <v>6714.29</v>
      </c>
      <c r="D33" s="65">
        <v>1.1000000000000001</v>
      </c>
      <c r="E33" s="66">
        <v>5.19</v>
      </c>
    </row>
    <row r="34" spans="1:7" ht="16.5" customHeight="1">
      <c r="A34" s="63">
        <v>2</v>
      </c>
      <c r="B34" s="64">
        <v>15392825</v>
      </c>
      <c r="C34" s="64">
        <v>6784.69</v>
      </c>
      <c r="D34" s="65">
        <v>1.0900000000000001</v>
      </c>
      <c r="E34" s="65">
        <v>5.2</v>
      </c>
    </row>
    <row r="35" spans="1:7" ht="16.5" customHeight="1">
      <c r="A35" s="63">
        <v>3</v>
      </c>
      <c r="B35" s="64">
        <v>15382958</v>
      </c>
      <c r="C35" s="64">
        <v>6796.32</v>
      </c>
      <c r="D35" s="65">
        <v>1.1100000000000001</v>
      </c>
      <c r="E35" s="65">
        <v>5.19</v>
      </c>
    </row>
    <row r="36" spans="1:7" ht="16.5" customHeight="1">
      <c r="A36" s="63">
        <v>4</v>
      </c>
      <c r="B36" s="64">
        <v>15322526</v>
      </c>
      <c r="C36" s="64">
        <v>6760.41</v>
      </c>
      <c r="D36" s="65">
        <v>1.1100000000000001</v>
      </c>
      <c r="E36" s="65">
        <v>5.19</v>
      </c>
    </row>
    <row r="37" spans="1:7" ht="16.5" customHeight="1">
      <c r="A37" s="63">
        <v>5</v>
      </c>
      <c r="B37" s="64">
        <v>15374133</v>
      </c>
      <c r="C37" s="64">
        <v>6701.67</v>
      </c>
      <c r="D37" s="65">
        <v>1.1000000000000001</v>
      </c>
      <c r="E37" s="65">
        <v>5.19</v>
      </c>
    </row>
    <row r="38" spans="1:7" ht="16.5" customHeight="1">
      <c r="A38" s="63">
        <v>6</v>
      </c>
      <c r="B38" s="67">
        <v>15323945</v>
      </c>
      <c r="C38" s="67">
        <v>6671.85</v>
      </c>
      <c r="D38" s="68">
        <v>1.07</v>
      </c>
      <c r="E38" s="68">
        <v>5.19</v>
      </c>
    </row>
    <row r="39" spans="1:7" ht="16.5" customHeight="1">
      <c r="A39" s="69" t="s">
        <v>17</v>
      </c>
      <c r="B39" s="70">
        <f>AVERAGE(B33:B38)</f>
        <v>15351431.833333334</v>
      </c>
      <c r="C39" s="71">
        <f>AVERAGE(C33:C38)</f>
        <v>6738.204999999999</v>
      </c>
      <c r="D39" s="72">
        <f>AVERAGE(D33:D38)</f>
        <v>1.0966666666666669</v>
      </c>
      <c r="E39" s="72">
        <f>AVERAGE(E33:E38)</f>
        <v>5.1916666666666673</v>
      </c>
    </row>
    <row r="40" spans="1:7" ht="16.5" customHeight="1">
      <c r="A40" s="73" t="s">
        <v>18</v>
      </c>
      <c r="B40" s="74">
        <f>(STDEV(B33:B38)/B39)</f>
        <v>2.3218788611212245E-3</v>
      </c>
      <c r="C40" s="75"/>
      <c r="D40" s="75"/>
      <c r="E40" s="76"/>
    </row>
    <row r="41" spans="1:7" s="49" customFormat="1" ht="16.5" customHeight="1">
      <c r="A41" s="77" t="s">
        <v>19</v>
      </c>
      <c r="B41" s="78">
        <f>COUNT(B33:B38)</f>
        <v>6</v>
      </c>
      <c r="C41" s="79"/>
      <c r="D41" s="80"/>
      <c r="E41" s="81"/>
    </row>
    <row r="42" spans="1:7" s="49" customFormat="1" ht="15.75" customHeight="1">
      <c r="A42" s="56"/>
      <c r="B42" s="56"/>
      <c r="C42" s="56"/>
      <c r="D42" s="56"/>
      <c r="E42" s="56"/>
    </row>
    <row r="43" spans="1:7" s="49" customFormat="1" ht="16.5" customHeight="1">
      <c r="A43" s="57" t="s">
        <v>20</v>
      </c>
      <c r="B43" s="82" t="s">
        <v>107</v>
      </c>
      <c r="C43" s="83"/>
      <c r="D43" s="83"/>
      <c r="E43" s="83"/>
    </row>
    <row r="44" spans="1:7" ht="16.5" customHeight="1">
      <c r="A44" s="57"/>
      <c r="B44" s="82" t="s">
        <v>108</v>
      </c>
      <c r="C44" s="83"/>
      <c r="D44" s="83"/>
      <c r="E44" s="83"/>
    </row>
    <row r="45" spans="1:7" ht="16.5" customHeight="1">
      <c r="A45" s="57"/>
      <c r="B45" s="82" t="s">
        <v>109</v>
      </c>
      <c r="C45" s="83"/>
      <c r="D45" s="83"/>
      <c r="E45" s="83"/>
    </row>
    <row r="46" spans="1:7" ht="14.25" customHeight="1" thickBot="1">
      <c r="A46" s="85"/>
      <c r="D46" s="86"/>
      <c r="F46" s="51"/>
      <c r="G46" s="51"/>
    </row>
    <row r="47" spans="1:7" ht="15" customHeight="1">
      <c r="B47" s="265" t="s">
        <v>21</v>
      </c>
      <c r="C47" s="265"/>
      <c r="E47" s="87" t="s">
        <v>22</v>
      </c>
      <c r="F47" s="88"/>
      <c r="G47" s="87" t="s">
        <v>23</v>
      </c>
    </row>
    <row r="48" spans="1:7" ht="15" customHeight="1">
      <c r="A48" s="89" t="s">
        <v>24</v>
      </c>
      <c r="B48" s="90" t="s">
        <v>112</v>
      </c>
      <c r="C48" s="90"/>
      <c r="E48" s="90" t="s">
        <v>113</v>
      </c>
      <c r="G48" s="90"/>
    </row>
    <row r="49" spans="1:7" ht="15" customHeight="1">
      <c r="A49" s="89" t="s">
        <v>25</v>
      </c>
      <c r="B49" s="91"/>
      <c r="C49" s="91"/>
      <c r="E49" s="91"/>
      <c r="G49" s="92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zoomScale="60" zoomScaleNormal="60" zoomScaleSheetLayoutView="40" zoomScalePageLayoutView="55" workbookViewId="0">
      <selection activeCell="C32" sqref="C32:H32"/>
    </sheetView>
  </sheetViews>
  <sheetFormatPr defaultColWidth="9.140625" defaultRowHeight="13.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51"/>
  </cols>
  <sheetData>
    <row r="1" spans="1:9" ht="18.75" customHeight="1">
      <c r="A1" s="299" t="s">
        <v>40</v>
      </c>
      <c r="B1" s="299"/>
      <c r="C1" s="299"/>
      <c r="D1" s="299"/>
      <c r="E1" s="299"/>
      <c r="F1" s="299"/>
      <c r="G1" s="299"/>
      <c r="H1" s="299"/>
      <c r="I1" s="299"/>
    </row>
    <row r="2" spans="1:9" ht="18.75" customHeight="1">
      <c r="A2" s="299"/>
      <c r="B2" s="299"/>
      <c r="C2" s="299"/>
      <c r="D2" s="299"/>
      <c r="E2" s="299"/>
      <c r="F2" s="299"/>
      <c r="G2" s="299"/>
      <c r="H2" s="299"/>
      <c r="I2" s="299"/>
    </row>
    <row r="3" spans="1:9" ht="18.75" customHeight="1">
      <c r="A3" s="299"/>
      <c r="B3" s="299"/>
      <c r="C3" s="299"/>
      <c r="D3" s="299"/>
      <c r="E3" s="299"/>
      <c r="F3" s="299"/>
      <c r="G3" s="299"/>
      <c r="H3" s="299"/>
      <c r="I3" s="299"/>
    </row>
    <row r="4" spans="1:9" ht="18.75" customHeight="1">
      <c r="A4" s="299"/>
      <c r="B4" s="299"/>
      <c r="C4" s="299"/>
      <c r="D4" s="299"/>
      <c r="E4" s="299"/>
      <c r="F4" s="299"/>
      <c r="G4" s="299"/>
      <c r="H4" s="299"/>
      <c r="I4" s="299"/>
    </row>
    <row r="5" spans="1:9" ht="18.75" customHeight="1">
      <c r="A5" s="299"/>
      <c r="B5" s="299"/>
      <c r="C5" s="299"/>
      <c r="D5" s="299"/>
      <c r="E5" s="299"/>
      <c r="F5" s="299"/>
      <c r="G5" s="299"/>
      <c r="H5" s="299"/>
      <c r="I5" s="299"/>
    </row>
    <row r="6" spans="1:9" ht="18.75" customHeight="1">
      <c r="A6" s="299"/>
      <c r="B6" s="299"/>
      <c r="C6" s="299"/>
      <c r="D6" s="299"/>
      <c r="E6" s="299"/>
      <c r="F6" s="299"/>
      <c r="G6" s="299"/>
      <c r="H6" s="299"/>
      <c r="I6" s="299"/>
    </row>
    <row r="7" spans="1:9" ht="18.75" customHeight="1">
      <c r="A7" s="299"/>
      <c r="B7" s="299"/>
      <c r="C7" s="299"/>
      <c r="D7" s="299"/>
      <c r="E7" s="299"/>
      <c r="F7" s="299"/>
      <c r="G7" s="299"/>
      <c r="H7" s="299"/>
      <c r="I7" s="299"/>
    </row>
    <row r="8" spans="1:9">
      <c r="A8" s="300" t="s">
        <v>41</v>
      </c>
      <c r="B8" s="300"/>
      <c r="C8" s="300"/>
      <c r="D8" s="300"/>
      <c r="E8" s="300"/>
      <c r="F8" s="300"/>
      <c r="G8" s="300"/>
      <c r="H8" s="300"/>
      <c r="I8" s="300"/>
    </row>
    <row r="9" spans="1:9">
      <c r="A9" s="300"/>
      <c r="B9" s="300"/>
      <c r="C9" s="300"/>
      <c r="D9" s="300"/>
      <c r="E9" s="300"/>
      <c r="F9" s="300"/>
      <c r="G9" s="300"/>
      <c r="H9" s="300"/>
      <c r="I9" s="300"/>
    </row>
    <row r="10" spans="1:9">
      <c r="A10" s="300"/>
      <c r="B10" s="300"/>
      <c r="C10" s="300"/>
      <c r="D10" s="300"/>
      <c r="E10" s="300"/>
      <c r="F10" s="300"/>
      <c r="G10" s="300"/>
      <c r="H10" s="300"/>
      <c r="I10" s="300"/>
    </row>
    <row r="11" spans="1:9">
      <c r="A11" s="300"/>
      <c r="B11" s="300"/>
      <c r="C11" s="300"/>
      <c r="D11" s="300"/>
      <c r="E11" s="300"/>
      <c r="F11" s="300"/>
      <c r="G11" s="300"/>
      <c r="H11" s="300"/>
      <c r="I11" s="300"/>
    </row>
    <row r="12" spans="1:9">
      <c r="A12" s="300"/>
      <c r="B12" s="300"/>
      <c r="C12" s="300"/>
      <c r="D12" s="300"/>
      <c r="E12" s="300"/>
      <c r="F12" s="300"/>
      <c r="G12" s="300"/>
      <c r="H12" s="300"/>
      <c r="I12" s="300"/>
    </row>
    <row r="13" spans="1:9">
      <c r="A13" s="300"/>
      <c r="B13" s="300"/>
      <c r="C13" s="300"/>
      <c r="D13" s="300"/>
      <c r="E13" s="300"/>
      <c r="F13" s="300"/>
      <c r="G13" s="300"/>
      <c r="H13" s="300"/>
      <c r="I13" s="300"/>
    </row>
    <row r="14" spans="1:9">
      <c r="A14" s="300"/>
      <c r="B14" s="300"/>
      <c r="C14" s="300"/>
      <c r="D14" s="300"/>
      <c r="E14" s="300"/>
      <c r="F14" s="300"/>
      <c r="G14" s="300"/>
      <c r="H14" s="300"/>
      <c r="I14" s="300"/>
    </row>
    <row r="15" spans="1:9" ht="19.5" customHeight="1" thickBot="1">
      <c r="A15" s="93"/>
    </row>
    <row r="16" spans="1:9" ht="19.5" customHeight="1" thickBot="1">
      <c r="A16" s="301" t="s">
        <v>26</v>
      </c>
      <c r="B16" s="302"/>
      <c r="C16" s="302"/>
      <c r="D16" s="302"/>
      <c r="E16" s="302"/>
      <c r="F16" s="302"/>
      <c r="G16" s="302"/>
      <c r="H16" s="303"/>
    </row>
    <row r="17" spans="1:14" ht="20.25" customHeight="1">
      <c r="A17" s="304" t="s">
        <v>42</v>
      </c>
      <c r="B17" s="304"/>
      <c r="C17" s="304"/>
      <c r="D17" s="304"/>
      <c r="E17" s="304"/>
      <c r="F17" s="304"/>
      <c r="G17" s="304"/>
      <c r="H17" s="304"/>
    </row>
    <row r="18" spans="1:14" ht="26.25" customHeight="1">
      <c r="A18" s="94" t="s">
        <v>28</v>
      </c>
      <c r="B18" s="297" t="s">
        <v>114</v>
      </c>
      <c r="C18" s="297"/>
      <c r="D18" s="95"/>
      <c r="E18" s="96"/>
      <c r="F18" s="97"/>
      <c r="G18" s="97"/>
      <c r="H18" s="97"/>
    </row>
    <row r="19" spans="1:14" ht="26.25" customHeight="1">
      <c r="A19" s="94" t="s">
        <v>29</v>
      </c>
      <c r="B19" s="104" t="s">
        <v>6</v>
      </c>
      <c r="C19" s="97">
        <v>29</v>
      </c>
      <c r="D19" s="97"/>
      <c r="E19" s="97"/>
      <c r="F19" s="97"/>
      <c r="G19" s="97"/>
      <c r="H19" s="97"/>
    </row>
    <row r="20" spans="1:14" ht="26.25" customHeight="1">
      <c r="A20" s="94" t="s">
        <v>30</v>
      </c>
      <c r="B20" s="296" t="s">
        <v>115</v>
      </c>
      <c r="C20" s="296"/>
      <c r="D20" s="97"/>
      <c r="E20" s="97"/>
      <c r="F20" s="97"/>
      <c r="G20" s="97"/>
      <c r="H20" s="97"/>
    </row>
    <row r="21" spans="1:14" ht="26.25" customHeight="1">
      <c r="A21" s="94" t="s">
        <v>31</v>
      </c>
      <c r="B21" s="296" t="s">
        <v>116</v>
      </c>
      <c r="C21" s="296"/>
      <c r="D21" s="296"/>
      <c r="E21" s="296"/>
      <c r="F21" s="296"/>
      <c r="G21" s="296"/>
      <c r="H21" s="296"/>
      <c r="I21" s="98"/>
    </row>
    <row r="22" spans="1:14" ht="26.25" customHeight="1">
      <c r="A22" s="94" t="s">
        <v>32</v>
      </c>
      <c r="B22" s="99">
        <v>42466</v>
      </c>
      <c r="C22" s="97"/>
      <c r="D22" s="97"/>
      <c r="E22" s="97"/>
      <c r="F22" s="97"/>
      <c r="G22" s="97"/>
      <c r="H22" s="97"/>
    </row>
    <row r="23" spans="1:14" ht="26.25" customHeight="1">
      <c r="A23" s="94" t="s">
        <v>33</v>
      </c>
      <c r="B23" s="99">
        <v>42475</v>
      </c>
      <c r="C23" s="97"/>
      <c r="D23" s="97"/>
      <c r="E23" s="97"/>
      <c r="F23" s="97"/>
      <c r="G23" s="97"/>
      <c r="H23" s="97"/>
    </row>
    <row r="24" spans="1:14" ht="18.75">
      <c r="A24" s="94"/>
      <c r="B24" s="100"/>
    </row>
    <row r="25" spans="1:14" ht="18.75">
      <c r="A25" s="101" t="s">
        <v>1</v>
      </c>
      <c r="B25" s="100"/>
    </row>
    <row r="26" spans="1:14" ht="26.25" customHeight="1">
      <c r="A26" s="102" t="s">
        <v>3</v>
      </c>
      <c r="B26" s="297" t="s">
        <v>105</v>
      </c>
      <c r="C26" s="297"/>
    </row>
    <row r="27" spans="1:14" ht="26.25" customHeight="1">
      <c r="A27" s="103" t="s">
        <v>43</v>
      </c>
      <c r="B27" s="298" t="s">
        <v>117</v>
      </c>
      <c r="C27" s="298"/>
    </row>
    <row r="28" spans="1:14" ht="27" customHeight="1" thickBot="1">
      <c r="A28" s="103" t="s">
        <v>5</v>
      </c>
      <c r="B28" s="105">
        <v>99.8</v>
      </c>
    </row>
    <row r="29" spans="1:14" s="60" customFormat="1" ht="27" customHeight="1" thickBot="1">
      <c r="A29" s="103" t="s">
        <v>44</v>
      </c>
      <c r="B29" s="106">
        <v>0</v>
      </c>
      <c r="C29" s="276" t="s">
        <v>45</v>
      </c>
      <c r="D29" s="277"/>
      <c r="E29" s="277"/>
      <c r="F29" s="277"/>
      <c r="G29" s="278"/>
      <c r="I29" s="107"/>
      <c r="J29" s="107"/>
      <c r="K29" s="107"/>
      <c r="L29" s="107"/>
    </row>
    <row r="30" spans="1:14" s="60" customFormat="1" ht="19.5" customHeight="1" thickBot="1">
      <c r="A30" s="103" t="s">
        <v>46</v>
      </c>
      <c r="B30" s="108">
        <f>B28-B29</f>
        <v>99.8</v>
      </c>
      <c r="C30" s="109"/>
      <c r="D30" s="109"/>
      <c r="E30" s="109"/>
      <c r="F30" s="109"/>
      <c r="G30" s="110"/>
      <c r="I30" s="107"/>
      <c r="J30" s="107"/>
      <c r="K30" s="107"/>
      <c r="L30" s="107"/>
    </row>
    <row r="31" spans="1:14" s="60" customFormat="1" ht="27" customHeight="1" thickBot="1">
      <c r="A31" s="103" t="s">
        <v>47</v>
      </c>
      <c r="B31" s="111">
        <v>1</v>
      </c>
      <c r="C31" s="279" t="s">
        <v>48</v>
      </c>
      <c r="D31" s="280"/>
      <c r="E31" s="280"/>
      <c r="F31" s="280"/>
      <c r="G31" s="280"/>
      <c r="H31" s="281"/>
      <c r="I31" s="107"/>
      <c r="J31" s="107"/>
      <c r="K31" s="107"/>
      <c r="L31" s="107"/>
    </row>
    <row r="32" spans="1:14" s="60" customFormat="1" ht="27" customHeight="1" thickBot="1">
      <c r="A32" s="103" t="s">
        <v>49</v>
      </c>
      <c r="B32" s="111">
        <v>1</v>
      </c>
      <c r="C32" s="279" t="s">
        <v>50</v>
      </c>
      <c r="D32" s="280"/>
      <c r="E32" s="280"/>
      <c r="F32" s="280"/>
      <c r="G32" s="280"/>
      <c r="H32" s="281"/>
      <c r="I32" s="107"/>
      <c r="J32" s="107"/>
      <c r="K32" s="107"/>
      <c r="L32" s="112"/>
      <c r="M32" s="112"/>
      <c r="N32" s="113"/>
    </row>
    <row r="33" spans="1:14" s="60" customFormat="1" ht="17.25" customHeight="1">
      <c r="A33" s="103"/>
      <c r="B33" s="114"/>
      <c r="C33" s="115"/>
      <c r="D33" s="115"/>
      <c r="E33" s="115"/>
      <c r="F33" s="115"/>
      <c r="G33" s="115"/>
      <c r="H33" s="115"/>
      <c r="I33" s="107"/>
      <c r="J33" s="107"/>
      <c r="K33" s="107"/>
      <c r="L33" s="112"/>
      <c r="M33" s="112"/>
      <c r="N33" s="113"/>
    </row>
    <row r="34" spans="1:14" s="60" customFormat="1" ht="18.75">
      <c r="A34" s="103" t="s">
        <v>51</v>
      </c>
      <c r="B34" s="116">
        <f>B31/B32</f>
        <v>1</v>
      </c>
      <c r="C34" s="93" t="s">
        <v>52</v>
      </c>
      <c r="D34" s="93"/>
      <c r="E34" s="93"/>
      <c r="F34" s="93"/>
      <c r="G34" s="93"/>
      <c r="I34" s="107"/>
      <c r="J34" s="107"/>
      <c r="K34" s="107"/>
      <c r="L34" s="112"/>
      <c r="M34" s="112"/>
      <c r="N34" s="113"/>
    </row>
    <row r="35" spans="1:14" s="60" customFormat="1" ht="19.5" customHeight="1" thickBot="1">
      <c r="A35" s="103"/>
      <c r="B35" s="108"/>
      <c r="G35" s="93"/>
      <c r="I35" s="107"/>
      <c r="J35" s="107"/>
      <c r="K35" s="107"/>
      <c r="L35" s="112"/>
      <c r="M35" s="112"/>
      <c r="N35" s="113"/>
    </row>
    <row r="36" spans="1:14" s="60" customFormat="1" ht="27" customHeight="1" thickBot="1">
      <c r="A36" s="117" t="s">
        <v>53</v>
      </c>
      <c r="B36" s="118">
        <v>50</v>
      </c>
      <c r="C36" s="93"/>
      <c r="D36" s="282" t="s">
        <v>54</v>
      </c>
      <c r="E36" s="295"/>
      <c r="F36" s="282" t="s">
        <v>55</v>
      </c>
      <c r="G36" s="283"/>
      <c r="J36" s="107"/>
      <c r="K36" s="107"/>
      <c r="L36" s="112"/>
      <c r="M36" s="112"/>
      <c r="N36" s="113"/>
    </row>
    <row r="37" spans="1:14" s="60" customFormat="1" ht="27" customHeight="1" thickBot="1">
      <c r="A37" s="119" t="s">
        <v>118</v>
      </c>
      <c r="B37" s="120">
        <v>10</v>
      </c>
      <c r="C37" s="121" t="s">
        <v>56</v>
      </c>
      <c r="D37" s="122" t="s">
        <v>57</v>
      </c>
      <c r="E37" s="123" t="s">
        <v>58</v>
      </c>
      <c r="F37" s="122" t="s">
        <v>57</v>
      </c>
      <c r="G37" s="124" t="s">
        <v>58</v>
      </c>
      <c r="I37" s="125" t="s">
        <v>59</v>
      </c>
      <c r="J37" s="107"/>
      <c r="K37" s="107"/>
      <c r="L37" s="112"/>
      <c r="M37" s="112"/>
      <c r="N37" s="113"/>
    </row>
    <row r="38" spans="1:14" s="60" customFormat="1" ht="26.25" customHeight="1">
      <c r="A38" s="119" t="s">
        <v>119</v>
      </c>
      <c r="B38" s="120">
        <v>20</v>
      </c>
      <c r="C38" s="126">
        <v>1</v>
      </c>
      <c r="D38" s="127">
        <v>175079251</v>
      </c>
      <c r="E38" s="128">
        <f>IF(ISBLANK(D38),"-",$D$48/$D$45*D38)</f>
        <v>154054982.41268489</v>
      </c>
      <c r="F38" s="127">
        <v>191895736</v>
      </c>
      <c r="G38" s="129">
        <f>IF(ISBLANK(F38),"-",$D$48/$F$45*F38)</f>
        <v>151700431.23722792</v>
      </c>
      <c r="I38" s="130"/>
      <c r="J38" s="107"/>
      <c r="K38" s="107"/>
      <c r="L38" s="112"/>
      <c r="M38" s="112"/>
      <c r="N38" s="113"/>
    </row>
    <row r="39" spans="1:14" s="60" customFormat="1" ht="26.25" customHeight="1">
      <c r="A39" s="119" t="s">
        <v>120</v>
      </c>
      <c r="B39" s="120">
        <v>1</v>
      </c>
      <c r="C39" s="131">
        <v>2</v>
      </c>
      <c r="D39" s="132">
        <v>174244602</v>
      </c>
      <c r="E39" s="133">
        <f>IF(ISBLANK(D39),"-",$D$48/$D$45*D39)</f>
        <v>153320561.65019396</v>
      </c>
      <c r="F39" s="132">
        <v>192421990</v>
      </c>
      <c r="G39" s="134">
        <f>IF(ISBLANK(F39),"-",$D$48/$F$45*F39)</f>
        <v>152116453.8149277</v>
      </c>
      <c r="I39" s="266">
        <f>ABS((F43/D43*D42)-F42)/D42</f>
        <v>1.1788388411426843E-2</v>
      </c>
      <c r="J39" s="107"/>
      <c r="K39" s="107"/>
      <c r="L39" s="112"/>
      <c r="M39" s="112"/>
      <c r="N39" s="113"/>
    </row>
    <row r="40" spans="1:14" ht="26.25" customHeight="1">
      <c r="A40" s="119" t="s">
        <v>121</v>
      </c>
      <c r="B40" s="120">
        <v>1</v>
      </c>
      <c r="C40" s="131">
        <v>3</v>
      </c>
      <c r="D40" s="132">
        <v>174433307</v>
      </c>
      <c r="E40" s="133">
        <f>IF(ISBLANK(D40),"-",$D$48/$D$45*D40)</f>
        <v>153486606.14313152</v>
      </c>
      <c r="F40" s="132">
        <v>192482511</v>
      </c>
      <c r="G40" s="134">
        <f>IF(ISBLANK(F40),"-",$D$48/$F$45*F40)</f>
        <v>152164297.8264221</v>
      </c>
      <c r="I40" s="266"/>
      <c r="L40" s="112"/>
      <c r="M40" s="112"/>
      <c r="N40" s="93"/>
    </row>
    <row r="41" spans="1:14" ht="27" customHeight="1" thickBot="1">
      <c r="A41" s="119" t="s">
        <v>122</v>
      </c>
      <c r="B41" s="120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  <c r="I41" s="139"/>
      <c r="L41" s="112"/>
      <c r="M41" s="112"/>
      <c r="N41" s="93"/>
    </row>
    <row r="42" spans="1:14" ht="27" customHeight="1" thickBot="1">
      <c r="A42" s="119" t="s">
        <v>123</v>
      </c>
      <c r="B42" s="120">
        <v>1</v>
      </c>
      <c r="C42" s="140" t="s">
        <v>60</v>
      </c>
      <c r="D42" s="141">
        <f>AVERAGE(D38:D41)</f>
        <v>174585720</v>
      </c>
      <c r="E42" s="142">
        <f>AVERAGE(E38:E41)</f>
        <v>153620716.73533678</v>
      </c>
      <c r="F42" s="141">
        <f>AVERAGE(F38:F41)</f>
        <v>192266745.66666666</v>
      </c>
      <c r="G42" s="143">
        <f>AVERAGE(G38:G41)</f>
        <v>151993727.62619257</v>
      </c>
      <c r="H42" s="144"/>
    </row>
    <row r="43" spans="1:14" ht="26.25" customHeight="1">
      <c r="A43" s="119" t="s">
        <v>124</v>
      </c>
      <c r="B43" s="120">
        <v>1</v>
      </c>
      <c r="C43" s="145" t="s">
        <v>61</v>
      </c>
      <c r="D43" s="146">
        <v>18.22</v>
      </c>
      <c r="E43" s="93"/>
      <c r="F43" s="146">
        <v>20.28</v>
      </c>
      <c r="H43" s="144"/>
    </row>
    <row r="44" spans="1:14" ht="26.25" customHeight="1">
      <c r="A44" s="119" t="s">
        <v>125</v>
      </c>
      <c r="B44" s="120">
        <v>1</v>
      </c>
      <c r="C44" s="147" t="s">
        <v>62</v>
      </c>
      <c r="D44" s="148">
        <f>D43*$B$34</f>
        <v>18.22</v>
      </c>
      <c r="E44" s="149"/>
      <c r="F44" s="148">
        <f>F43*$B$34</f>
        <v>20.28</v>
      </c>
      <c r="H44" s="144"/>
    </row>
    <row r="45" spans="1:14" ht="19.5" customHeight="1" thickBot="1">
      <c r="A45" s="119" t="s">
        <v>63</v>
      </c>
      <c r="B45" s="131">
        <f>(B44/B43)*(B42/B41)*(B40/B39)*(B38/B37)*B36</f>
        <v>100</v>
      </c>
      <c r="C45" s="147" t="s">
        <v>64</v>
      </c>
      <c r="D45" s="150">
        <f>D44*$B$30/100</f>
        <v>18.183559999999996</v>
      </c>
      <c r="E45" s="151"/>
      <c r="F45" s="150">
        <f>F44*$B$30/100</f>
        <v>20.239439999999998</v>
      </c>
      <c r="H45" s="144"/>
    </row>
    <row r="46" spans="1:14" ht="19.5" customHeight="1" thickBot="1">
      <c r="A46" s="267" t="s">
        <v>65</v>
      </c>
      <c r="B46" s="271"/>
      <c r="C46" s="147" t="s">
        <v>66</v>
      </c>
      <c r="D46" s="152">
        <f>D45/$B$45</f>
        <v>0.18183559999999996</v>
      </c>
      <c r="E46" s="153"/>
      <c r="F46" s="154">
        <f>F45/$B$45</f>
        <v>0.20239439999999997</v>
      </c>
      <c r="H46" s="144"/>
    </row>
    <row r="47" spans="1:14" ht="27" customHeight="1" thickBot="1">
      <c r="A47" s="269"/>
      <c r="B47" s="272"/>
      <c r="C47" s="155" t="s">
        <v>67</v>
      </c>
      <c r="D47" s="156">
        <v>0.16</v>
      </c>
      <c r="E47" s="157"/>
      <c r="F47" s="153"/>
      <c r="H47" s="144"/>
    </row>
    <row r="48" spans="1:14" ht="18.75">
      <c r="C48" s="158" t="s">
        <v>68</v>
      </c>
      <c r="D48" s="150">
        <f>D47*$B$45</f>
        <v>16</v>
      </c>
      <c r="F48" s="159"/>
      <c r="H48" s="144"/>
    </row>
    <row r="49" spans="1:12" ht="19.5" customHeight="1" thickBot="1">
      <c r="C49" s="160" t="s">
        <v>69</v>
      </c>
      <c r="D49" s="161">
        <f>D48/B34</f>
        <v>16</v>
      </c>
      <c r="F49" s="159"/>
      <c r="H49" s="144"/>
    </row>
    <row r="50" spans="1:12" ht="18.75">
      <c r="C50" s="117" t="s">
        <v>70</v>
      </c>
      <c r="D50" s="162">
        <f>AVERAGE(E38:E41,G38:G41)</f>
        <v>152807222.18076468</v>
      </c>
      <c r="F50" s="163"/>
      <c r="H50" s="144"/>
    </row>
    <row r="51" spans="1:12" ht="18.75">
      <c r="C51" s="119" t="s">
        <v>71</v>
      </c>
      <c r="D51" s="164">
        <f>STDEV(E38:E41,G38:G41)/D50</f>
        <v>6.1372423335924473E-3</v>
      </c>
      <c r="F51" s="163"/>
      <c r="H51" s="144"/>
    </row>
    <row r="52" spans="1:12" ht="19.5" customHeight="1" thickBot="1">
      <c r="C52" s="165" t="s">
        <v>19</v>
      </c>
      <c r="D52" s="166">
        <f>COUNT(E38:E41,G38:G41)</f>
        <v>6</v>
      </c>
      <c r="F52" s="163"/>
    </row>
    <row r="54" spans="1:12" ht="18.75">
      <c r="A54" s="167" t="s">
        <v>1</v>
      </c>
      <c r="B54" s="168" t="s">
        <v>72</v>
      </c>
    </row>
    <row r="55" spans="1:12" ht="18.75">
      <c r="A55" s="93" t="s">
        <v>73</v>
      </c>
      <c r="B55" s="169" t="str">
        <f>B21</f>
        <v>Each tablet contains: Sulphamethoxazole B.P. 800 mg and Trimethoprim B.P. 160 mg.</v>
      </c>
    </row>
    <row r="56" spans="1:12" ht="26.25" customHeight="1">
      <c r="A56" s="169" t="s">
        <v>74</v>
      </c>
      <c r="B56" s="170">
        <v>800</v>
      </c>
      <c r="C56" s="93" t="str">
        <f>B20</f>
        <v>each tablets contains sulphamethoxazole 800mg Trimethoprim 160mg.</v>
      </c>
      <c r="H56" s="149"/>
    </row>
    <row r="57" spans="1:12" ht="18.75">
      <c r="A57" s="169" t="s">
        <v>75</v>
      </c>
      <c r="B57" s="171">
        <f>Uniformity!C46</f>
        <v>1041.2014999999999</v>
      </c>
      <c r="H57" s="149"/>
    </row>
    <row r="58" spans="1:12" ht="19.5" customHeight="1" thickBot="1">
      <c r="H58" s="149"/>
    </row>
    <row r="59" spans="1:12" s="60" customFormat="1" ht="27" customHeight="1" thickBot="1">
      <c r="A59" s="117" t="s">
        <v>76</v>
      </c>
      <c r="B59" s="118">
        <v>200</v>
      </c>
      <c r="C59" s="93"/>
      <c r="D59" s="172" t="s">
        <v>77</v>
      </c>
      <c r="E59" s="173" t="s">
        <v>56</v>
      </c>
      <c r="F59" s="173" t="s">
        <v>57</v>
      </c>
      <c r="G59" s="173" t="s">
        <v>78</v>
      </c>
      <c r="H59" s="121" t="s">
        <v>79</v>
      </c>
      <c r="L59" s="107"/>
    </row>
    <row r="60" spans="1:12" s="60" customFormat="1" ht="26.25" customHeight="1">
      <c r="A60" s="119" t="s">
        <v>126</v>
      </c>
      <c r="B60" s="120">
        <v>2</v>
      </c>
      <c r="C60" s="284" t="s">
        <v>80</v>
      </c>
      <c r="D60" s="287">
        <v>1035.3</v>
      </c>
      <c r="E60" s="174">
        <v>1</v>
      </c>
      <c r="F60" s="175">
        <v>153094991</v>
      </c>
      <c r="G60" s="176">
        <f>IF(ISBLANK(F60),"-",(F60/$D$50*$D$47*$B$68)*($B$57/$D$60))</f>
        <v>806.07538379469281</v>
      </c>
      <c r="H60" s="177">
        <f t="shared" ref="H60:H71" si="0">IF(ISBLANK(F60),"-",G60/$B$56)</f>
        <v>1.007594229743366</v>
      </c>
      <c r="L60" s="107"/>
    </row>
    <row r="61" spans="1:12" s="60" customFormat="1" ht="26.25" customHeight="1">
      <c r="A61" s="119" t="s">
        <v>127</v>
      </c>
      <c r="B61" s="120">
        <v>50</v>
      </c>
      <c r="C61" s="285"/>
      <c r="D61" s="288"/>
      <c r="E61" s="178">
        <v>2</v>
      </c>
      <c r="F61" s="132">
        <v>153741205</v>
      </c>
      <c r="G61" s="179">
        <f>IF(ISBLANK(F61),"-",(F61/$D$50*$D$47*$B$68)*($B$57/$D$60))</f>
        <v>809.47782821603562</v>
      </c>
      <c r="H61" s="180">
        <f t="shared" si="0"/>
        <v>1.0118472852700444</v>
      </c>
      <c r="L61" s="107"/>
    </row>
    <row r="62" spans="1:12" s="60" customFormat="1" ht="26.25" customHeight="1">
      <c r="A62" s="119" t="s">
        <v>128</v>
      </c>
      <c r="B62" s="120">
        <v>1</v>
      </c>
      <c r="C62" s="285"/>
      <c r="D62" s="288"/>
      <c r="E62" s="178">
        <v>3</v>
      </c>
      <c r="F62" s="181">
        <v>153165273</v>
      </c>
      <c r="G62" s="179">
        <f>IF(ISBLANK(F62),"-",(F62/$D$50*$D$47*$B$68)*($B$57/$D$60))</f>
        <v>806.44543241453209</v>
      </c>
      <c r="H62" s="180">
        <f t="shared" si="0"/>
        <v>1.0080567905181652</v>
      </c>
      <c r="L62" s="107"/>
    </row>
    <row r="63" spans="1:12" ht="27" customHeight="1" thickBot="1">
      <c r="A63" s="119" t="s">
        <v>129</v>
      </c>
      <c r="B63" s="120">
        <v>1</v>
      </c>
      <c r="C63" s="286"/>
      <c r="D63" s="289"/>
      <c r="E63" s="182">
        <v>4</v>
      </c>
      <c r="F63" s="183"/>
      <c r="G63" s="179" t="str">
        <f>IF(ISBLANK(F63),"-",(F63/$D$50*$D$47*$B$68)*($B$57/$D$60))</f>
        <v>-</v>
      </c>
      <c r="H63" s="180" t="str">
        <f t="shared" si="0"/>
        <v>-</v>
      </c>
    </row>
    <row r="64" spans="1:12" ht="26.25" customHeight="1">
      <c r="A64" s="119" t="s">
        <v>130</v>
      </c>
      <c r="B64" s="120">
        <v>1</v>
      </c>
      <c r="C64" s="284" t="s">
        <v>81</v>
      </c>
      <c r="D64" s="287">
        <v>1027.05</v>
      </c>
      <c r="E64" s="174">
        <v>1</v>
      </c>
      <c r="F64" s="175">
        <v>152285289</v>
      </c>
      <c r="G64" s="184">
        <f>IF(ISBLANK(F64),"-",(F64/$D$50*$D$47*$B$68)*($B$57/$D$64))</f>
        <v>808.25287121565009</v>
      </c>
      <c r="H64" s="185">
        <f t="shared" si="0"/>
        <v>1.0103160890195626</v>
      </c>
    </row>
    <row r="65" spans="1:8" ht="26.25" customHeight="1">
      <c r="A65" s="119" t="s">
        <v>131</v>
      </c>
      <c r="B65" s="120">
        <v>1</v>
      </c>
      <c r="C65" s="285"/>
      <c r="D65" s="288"/>
      <c r="E65" s="178">
        <v>2</v>
      </c>
      <c r="F65" s="132">
        <v>152270029</v>
      </c>
      <c r="G65" s="186">
        <f>IF(ISBLANK(F65),"-",(F65/$D$50*$D$47*$B$68)*($B$57/$D$64))</f>
        <v>808.17187889593401</v>
      </c>
      <c r="H65" s="187">
        <f t="shared" si="0"/>
        <v>1.0102148486199176</v>
      </c>
    </row>
    <row r="66" spans="1:8" ht="26.25" customHeight="1">
      <c r="A66" s="119" t="s">
        <v>132</v>
      </c>
      <c r="B66" s="120">
        <v>1</v>
      </c>
      <c r="C66" s="285"/>
      <c r="D66" s="288"/>
      <c r="E66" s="178">
        <v>3</v>
      </c>
      <c r="F66" s="132">
        <v>152717235</v>
      </c>
      <c r="G66" s="186">
        <f>IF(ISBLANK(F66),"-",(F66/$D$50*$D$47*$B$68)*($B$57/$D$64))</f>
        <v>810.54542092286533</v>
      </c>
      <c r="H66" s="187">
        <f t="shared" si="0"/>
        <v>1.0131817761535817</v>
      </c>
    </row>
    <row r="67" spans="1:8" ht="27" customHeight="1" thickBot="1">
      <c r="A67" s="119" t="s">
        <v>133</v>
      </c>
      <c r="B67" s="120">
        <v>1</v>
      </c>
      <c r="C67" s="286"/>
      <c r="D67" s="289"/>
      <c r="E67" s="182">
        <v>4</v>
      </c>
      <c r="F67" s="183"/>
      <c r="G67" s="188" t="str">
        <f>IF(ISBLANK(F67),"-",(F67/$D$50*$D$47*$B$68)*($B$57/$D$64))</f>
        <v>-</v>
      </c>
      <c r="H67" s="189" t="str">
        <f t="shared" si="0"/>
        <v>-</v>
      </c>
    </row>
    <row r="68" spans="1:8" ht="26.25" customHeight="1">
      <c r="A68" s="119" t="s">
        <v>82</v>
      </c>
      <c r="B68" s="190">
        <f>(B67/B66)*(B65/B64)*(B63/B62)*(B61/B60)*B59</f>
        <v>5000</v>
      </c>
      <c r="C68" s="284" t="s">
        <v>83</v>
      </c>
      <c r="D68" s="287">
        <v>1013.43</v>
      </c>
      <c r="E68" s="174">
        <v>1</v>
      </c>
      <c r="F68" s="175">
        <v>148460305</v>
      </c>
      <c r="G68" s="184">
        <f>IF(ISBLANK(F68),"-",(F68/$D$50*$D$47*$B$68)*($B$57/$D$68))</f>
        <v>798.54148536830633</v>
      </c>
      <c r="H68" s="180">
        <f t="shared" si="0"/>
        <v>0.99817685671038292</v>
      </c>
    </row>
    <row r="69" spans="1:8" ht="27" customHeight="1" thickBot="1">
      <c r="A69" s="165" t="s">
        <v>84</v>
      </c>
      <c r="B69" s="191">
        <f>(D47*B68)/B56*B57</f>
        <v>1041.2014999999999</v>
      </c>
      <c r="C69" s="285"/>
      <c r="D69" s="288"/>
      <c r="E69" s="178">
        <v>2</v>
      </c>
      <c r="F69" s="132">
        <v>148705618</v>
      </c>
      <c r="G69" s="186">
        <f>IF(ISBLANK(F69),"-",(F69/$D$50*$D$47*$B$68)*($B$57/$D$68))</f>
        <v>799.86098021509474</v>
      </c>
      <c r="H69" s="180">
        <f t="shared" si="0"/>
        <v>0.99982622526886844</v>
      </c>
    </row>
    <row r="70" spans="1:8" ht="26.25" customHeight="1">
      <c r="A70" s="291" t="s">
        <v>65</v>
      </c>
      <c r="B70" s="292"/>
      <c r="C70" s="285"/>
      <c r="D70" s="288"/>
      <c r="E70" s="178">
        <v>3</v>
      </c>
      <c r="F70" s="132">
        <v>148660885</v>
      </c>
      <c r="G70" s="186">
        <f>IF(ISBLANK(F70),"-",(F70/$D$50*$D$47*$B$68)*($B$57/$D$68))</f>
        <v>799.62036939144753</v>
      </c>
      <c r="H70" s="180">
        <f t="shared" si="0"/>
        <v>0.99952546173930945</v>
      </c>
    </row>
    <row r="71" spans="1:8" ht="27" customHeight="1" thickBot="1">
      <c r="A71" s="293"/>
      <c r="B71" s="294"/>
      <c r="C71" s="290"/>
      <c r="D71" s="289"/>
      <c r="E71" s="182">
        <v>4</v>
      </c>
      <c r="F71" s="183"/>
      <c r="G71" s="188" t="str">
        <f>IF(ISBLANK(F71),"-",(F71/$D$50*$D$47*$B$68)*($B$57/$D$68))</f>
        <v>-</v>
      </c>
      <c r="H71" s="192" t="str">
        <f t="shared" si="0"/>
        <v>-</v>
      </c>
    </row>
    <row r="72" spans="1:8" ht="26.25" customHeight="1">
      <c r="A72" s="149"/>
      <c r="B72" s="149"/>
      <c r="C72" s="149"/>
      <c r="D72" s="149"/>
      <c r="E72" s="149"/>
      <c r="F72" s="193" t="s">
        <v>60</v>
      </c>
      <c r="G72" s="194">
        <f>AVERAGE(G60:G71)</f>
        <v>805.2212944927287</v>
      </c>
      <c r="H72" s="195">
        <f>AVERAGE(H60:H71)</f>
        <v>1.0065266181159109</v>
      </c>
    </row>
    <row r="73" spans="1:8" ht="26.25" customHeight="1">
      <c r="C73" s="149"/>
      <c r="D73" s="149"/>
      <c r="E73" s="149"/>
      <c r="F73" s="196" t="s">
        <v>71</v>
      </c>
      <c r="G73" s="197">
        <f>STDEV(G60:G71)/G72</f>
        <v>5.7468996058860321E-3</v>
      </c>
      <c r="H73" s="197">
        <f>STDEV(H60:H71)/H72</f>
        <v>5.7468996058772813E-3</v>
      </c>
    </row>
    <row r="74" spans="1:8" ht="27" customHeight="1" thickBot="1">
      <c r="A74" s="149"/>
      <c r="B74" s="149"/>
      <c r="C74" s="149"/>
      <c r="D74" s="149"/>
      <c r="E74" s="151"/>
      <c r="F74" s="198" t="s">
        <v>19</v>
      </c>
      <c r="G74" s="199">
        <f>COUNT(G60:G71)</f>
        <v>9</v>
      </c>
      <c r="H74" s="199">
        <f>COUNT(H60:H71)</f>
        <v>9</v>
      </c>
    </row>
    <row r="76" spans="1:8" ht="26.25" customHeight="1">
      <c r="A76" s="102" t="s">
        <v>85</v>
      </c>
      <c r="B76" s="103" t="s">
        <v>86</v>
      </c>
      <c r="C76" s="273" t="str">
        <f>B20</f>
        <v>each tablets contains sulphamethoxazole 800mg Trimethoprim 160mg.</v>
      </c>
      <c r="D76" s="273"/>
      <c r="E76" s="93" t="s">
        <v>87</v>
      </c>
      <c r="F76" s="93"/>
      <c r="G76" s="200">
        <f>H72</f>
        <v>1.0065266181159109</v>
      </c>
      <c r="H76" s="108"/>
    </row>
    <row r="77" spans="1:8" ht="18.75">
      <c r="A77" s="101" t="s">
        <v>88</v>
      </c>
      <c r="B77" s="101" t="s">
        <v>89</v>
      </c>
    </row>
    <row r="78" spans="1:8" ht="18.75">
      <c r="A78" s="101"/>
      <c r="B78" s="101"/>
    </row>
    <row r="79" spans="1:8" ht="26.25" customHeight="1">
      <c r="A79" s="102" t="s">
        <v>3</v>
      </c>
      <c r="B79" s="275" t="str">
        <f>B26</f>
        <v>Sulfamethoxazole</v>
      </c>
      <c r="C79" s="275"/>
    </row>
    <row r="80" spans="1:8" ht="26.25" customHeight="1">
      <c r="A80" s="103" t="s">
        <v>43</v>
      </c>
      <c r="B80" s="275" t="str">
        <f>B27</f>
        <v>S12-1</v>
      </c>
      <c r="C80" s="275"/>
    </row>
    <row r="81" spans="1:12" ht="27" customHeight="1" thickBot="1">
      <c r="A81" s="103" t="s">
        <v>5</v>
      </c>
      <c r="B81" s="105">
        <f>B28</f>
        <v>99.8</v>
      </c>
    </row>
    <row r="82" spans="1:12" s="60" customFormat="1" ht="27" customHeight="1" thickBot="1">
      <c r="A82" s="103" t="s">
        <v>44</v>
      </c>
      <c r="B82" s="106">
        <v>0</v>
      </c>
      <c r="C82" s="276" t="s">
        <v>45</v>
      </c>
      <c r="D82" s="277"/>
      <c r="E82" s="277"/>
      <c r="F82" s="277"/>
      <c r="G82" s="278"/>
      <c r="I82" s="107"/>
      <c r="J82" s="107"/>
      <c r="K82" s="107"/>
      <c r="L82" s="107"/>
    </row>
    <row r="83" spans="1:12" s="60" customFormat="1" ht="19.5" customHeight="1" thickBot="1">
      <c r="A83" s="103" t="s">
        <v>46</v>
      </c>
      <c r="B83" s="108">
        <f>B81-B82</f>
        <v>99.8</v>
      </c>
      <c r="C83" s="109"/>
      <c r="D83" s="109"/>
      <c r="E83" s="109"/>
      <c r="F83" s="109"/>
      <c r="G83" s="110"/>
      <c r="I83" s="107"/>
      <c r="J83" s="107"/>
      <c r="K83" s="107"/>
      <c r="L83" s="107"/>
    </row>
    <row r="84" spans="1:12" s="60" customFormat="1" ht="27" customHeight="1" thickBot="1">
      <c r="A84" s="103" t="s">
        <v>47</v>
      </c>
      <c r="B84" s="111">
        <v>1</v>
      </c>
      <c r="C84" s="279" t="s">
        <v>90</v>
      </c>
      <c r="D84" s="280"/>
      <c r="E84" s="280"/>
      <c r="F84" s="280"/>
      <c r="G84" s="280"/>
      <c r="H84" s="281"/>
      <c r="I84" s="107"/>
      <c r="J84" s="107"/>
      <c r="K84" s="107"/>
      <c r="L84" s="107"/>
    </row>
    <row r="85" spans="1:12" s="60" customFormat="1" ht="27" customHeight="1" thickBot="1">
      <c r="A85" s="103" t="s">
        <v>49</v>
      </c>
      <c r="B85" s="111">
        <v>1</v>
      </c>
      <c r="C85" s="279" t="s">
        <v>91</v>
      </c>
      <c r="D85" s="280"/>
      <c r="E85" s="280"/>
      <c r="F85" s="280"/>
      <c r="G85" s="280"/>
      <c r="H85" s="281"/>
      <c r="I85" s="107"/>
      <c r="J85" s="107"/>
      <c r="K85" s="107"/>
      <c r="L85" s="107"/>
    </row>
    <row r="86" spans="1:12" s="60" customFormat="1" ht="18.75">
      <c r="A86" s="103"/>
      <c r="B86" s="114"/>
      <c r="C86" s="115"/>
      <c r="D86" s="115"/>
      <c r="E86" s="115"/>
      <c r="F86" s="115"/>
      <c r="G86" s="115"/>
      <c r="H86" s="115"/>
      <c r="I86" s="107"/>
      <c r="J86" s="107"/>
      <c r="K86" s="107"/>
      <c r="L86" s="107"/>
    </row>
    <row r="87" spans="1:12" s="60" customFormat="1" ht="18.75">
      <c r="A87" s="103" t="s">
        <v>51</v>
      </c>
      <c r="B87" s="116">
        <f>B84/B85</f>
        <v>1</v>
      </c>
      <c r="C87" s="93" t="s">
        <v>52</v>
      </c>
      <c r="D87" s="93"/>
      <c r="E87" s="93"/>
      <c r="F87" s="93"/>
      <c r="G87" s="93"/>
      <c r="I87" s="107"/>
      <c r="J87" s="107"/>
      <c r="K87" s="107"/>
      <c r="L87" s="107"/>
    </row>
    <row r="88" spans="1:12" ht="19.5" customHeight="1" thickBot="1">
      <c r="A88" s="101"/>
      <c r="B88" s="101"/>
    </row>
    <row r="89" spans="1:12" ht="27" customHeight="1" thickBot="1">
      <c r="A89" s="117" t="s">
        <v>53</v>
      </c>
      <c r="B89" s="118">
        <v>50</v>
      </c>
      <c r="D89" s="201" t="s">
        <v>54</v>
      </c>
      <c r="E89" s="202"/>
      <c r="F89" s="282" t="s">
        <v>55</v>
      </c>
      <c r="G89" s="283"/>
    </row>
    <row r="90" spans="1:12" ht="27" customHeight="1" thickBot="1">
      <c r="A90" s="119" t="s">
        <v>118</v>
      </c>
      <c r="B90" s="120">
        <v>10</v>
      </c>
      <c r="C90" s="203" t="s">
        <v>56</v>
      </c>
      <c r="D90" s="122" t="s">
        <v>57</v>
      </c>
      <c r="E90" s="123" t="s">
        <v>58</v>
      </c>
      <c r="F90" s="122" t="s">
        <v>57</v>
      </c>
      <c r="G90" s="204" t="s">
        <v>58</v>
      </c>
      <c r="I90" s="125" t="s">
        <v>59</v>
      </c>
    </row>
    <row r="91" spans="1:12" ht="26.25" customHeight="1">
      <c r="A91" s="119" t="s">
        <v>119</v>
      </c>
      <c r="B91" s="120">
        <v>20</v>
      </c>
      <c r="C91" s="205">
        <v>1</v>
      </c>
      <c r="D91" s="127">
        <v>175079251</v>
      </c>
      <c r="E91" s="128">
        <f>IF(ISBLANK(D91),"-",$D$101/$D$98*D91)</f>
        <v>85586101.340380505</v>
      </c>
      <c r="F91" s="127">
        <v>191895736</v>
      </c>
      <c r="G91" s="129">
        <f>IF(ISBLANK(F91),"-",$D$101/$F$98*F91)</f>
        <v>84278017.354015514</v>
      </c>
      <c r="I91" s="130"/>
    </row>
    <row r="92" spans="1:12" ht="26.25" customHeight="1">
      <c r="A92" s="119" t="s">
        <v>120</v>
      </c>
      <c r="B92" s="120">
        <v>1</v>
      </c>
      <c r="C92" s="149">
        <v>2</v>
      </c>
      <c r="D92" s="132">
        <v>174244602</v>
      </c>
      <c r="E92" s="133">
        <f>IF(ISBLANK(D92),"-",$D$101/$D$98*D92)</f>
        <v>85178089.805663303</v>
      </c>
      <c r="F92" s="132">
        <v>192421990</v>
      </c>
      <c r="G92" s="134">
        <f>IF(ISBLANK(F92),"-",$D$101/$F$98*F92)</f>
        <v>84509141.008293167</v>
      </c>
      <c r="I92" s="266">
        <f>ABS((F96/D96*D95)-F95)/D95</f>
        <v>1.1788388411426843E-2</v>
      </c>
    </row>
    <row r="93" spans="1:12" ht="26.25" customHeight="1">
      <c r="A93" s="119" t="s">
        <v>121</v>
      </c>
      <c r="B93" s="120">
        <v>1</v>
      </c>
      <c r="C93" s="149">
        <v>3</v>
      </c>
      <c r="D93" s="132">
        <v>174433307</v>
      </c>
      <c r="E93" s="133">
        <f>IF(ISBLANK(D93),"-",$D$101/$D$98*D93)</f>
        <v>85270336.746184185</v>
      </c>
      <c r="F93" s="132">
        <v>192482511</v>
      </c>
      <c r="G93" s="134">
        <f>IF(ISBLANK(F93),"-",$D$101/$F$98*F93)</f>
        <v>84535721.01467894</v>
      </c>
      <c r="I93" s="266"/>
    </row>
    <row r="94" spans="1:12" ht="27" customHeight="1" thickBot="1">
      <c r="A94" s="119" t="s">
        <v>122</v>
      </c>
      <c r="B94" s="120">
        <v>1</v>
      </c>
      <c r="C94" s="206">
        <v>4</v>
      </c>
      <c r="D94" s="136"/>
      <c r="E94" s="137" t="str">
        <f>IF(ISBLANK(D94),"-",$D$101/$D$98*D94)</f>
        <v>-</v>
      </c>
      <c r="F94" s="136"/>
      <c r="G94" s="138" t="str">
        <f>IF(ISBLANK(F94),"-",$D$101/$F$98*F94)</f>
        <v>-</v>
      </c>
      <c r="I94" s="139"/>
    </row>
    <row r="95" spans="1:12" ht="27" customHeight="1" thickBot="1">
      <c r="A95" s="119" t="s">
        <v>123</v>
      </c>
      <c r="B95" s="120">
        <v>1</v>
      </c>
      <c r="C95" s="103" t="s">
        <v>60</v>
      </c>
      <c r="D95" s="207">
        <f>AVERAGE(D91:D94)</f>
        <v>174585720</v>
      </c>
      <c r="E95" s="142">
        <f>AVERAGE(E91:E94)</f>
        <v>85344842.630742669</v>
      </c>
      <c r="F95" s="208">
        <f>AVERAGE(F91:F94)</f>
        <v>192266745.66666666</v>
      </c>
      <c r="G95" s="209">
        <f>AVERAGE(G91:G94)</f>
        <v>84440959.792329207</v>
      </c>
    </row>
    <row r="96" spans="1:12" ht="26.25" customHeight="1">
      <c r="A96" s="119" t="s">
        <v>124</v>
      </c>
      <c r="B96" s="105">
        <v>1</v>
      </c>
      <c r="C96" s="210" t="s">
        <v>92</v>
      </c>
      <c r="D96" s="211">
        <f>D43</f>
        <v>18.22</v>
      </c>
      <c r="E96" s="93"/>
      <c r="F96" s="146">
        <f>F43</f>
        <v>20.28</v>
      </c>
    </row>
    <row r="97" spans="1:10" ht="26.25" customHeight="1">
      <c r="A97" s="119" t="s">
        <v>125</v>
      </c>
      <c r="B97" s="105">
        <v>1</v>
      </c>
      <c r="C97" s="212" t="s">
        <v>93</v>
      </c>
      <c r="D97" s="213">
        <f>D96*$B$87</f>
        <v>18.22</v>
      </c>
      <c r="E97" s="149"/>
      <c r="F97" s="148">
        <f>F96*$B$87</f>
        <v>20.28</v>
      </c>
    </row>
    <row r="98" spans="1:10" ht="19.5" customHeight="1" thickBot="1">
      <c r="A98" s="119" t="s">
        <v>63</v>
      </c>
      <c r="B98" s="149">
        <f>(B97/B96)*(B95/B94)*(B93/B92)*(B91/B90)*B89</f>
        <v>100</v>
      </c>
      <c r="C98" s="212" t="s">
        <v>94</v>
      </c>
      <c r="D98" s="214">
        <f>D97*$B$83/100</f>
        <v>18.183559999999996</v>
      </c>
      <c r="E98" s="151"/>
      <c r="F98" s="150">
        <f>F97*$B$83/100</f>
        <v>20.239439999999998</v>
      </c>
    </row>
    <row r="99" spans="1:10" ht="19.5" customHeight="1" thickBot="1">
      <c r="A99" s="267" t="s">
        <v>65</v>
      </c>
      <c r="B99" s="268"/>
      <c r="C99" s="212" t="s">
        <v>95</v>
      </c>
      <c r="D99" s="215">
        <f>D98/$B$98</f>
        <v>0.18183559999999996</v>
      </c>
      <c r="E99" s="151"/>
      <c r="F99" s="154">
        <f>F98/$B$98</f>
        <v>0.20239439999999997</v>
      </c>
      <c r="H99" s="144"/>
    </row>
    <row r="100" spans="1:10" ht="19.5" customHeight="1" thickBot="1">
      <c r="A100" s="269"/>
      <c r="B100" s="270"/>
      <c r="C100" s="212" t="s">
        <v>67</v>
      </c>
      <c r="D100" s="216">
        <f>$B$56/$B$116</f>
        <v>8.8888888888888892E-2</v>
      </c>
      <c r="F100" s="159"/>
      <c r="G100" s="217"/>
      <c r="H100" s="144"/>
    </row>
    <row r="101" spans="1:10" ht="18.75">
      <c r="C101" s="212" t="s">
        <v>68</v>
      </c>
      <c r="D101" s="213">
        <f>D100*$B$98</f>
        <v>8.8888888888888893</v>
      </c>
      <c r="F101" s="159"/>
      <c r="H101" s="144"/>
    </row>
    <row r="102" spans="1:10" ht="19.5" customHeight="1" thickBot="1">
      <c r="C102" s="218" t="s">
        <v>69</v>
      </c>
      <c r="D102" s="219">
        <f>D101/B34</f>
        <v>8.8888888888888893</v>
      </c>
      <c r="F102" s="163"/>
      <c r="H102" s="144"/>
      <c r="J102" s="220"/>
    </row>
    <row r="103" spans="1:10" ht="18.75">
      <c r="C103" s="221" t="s">
        <v>96</v>
      </c>
      <c r="D103" s="222">
        <f>AVERAGE(E91:E94,G91:G94)</f>
        <v>84892901.211535946</v>
      </c>
      <c r="F103" s="163"/>
      <c r="G103" s="217"/>
      <c r="H103" s="144"/>
      <c r="J103" s="223"/>
    </row>
    <row r="104" spans="1:10" ht="18.75">
      <c r="C104" s="196" t="s">
        <v>71</v>
      </c>
      <c r="D104" s="224">
        <f>STDEV(E91:E94,G91:G94)/D103</f>
        <v>6.1372423335734659E-3</v>
      </c>
      <c r="F104" s="163"/>
      <c r="H104" s="144"/>
      <c r="J104" s="223"/>
    </row>
    <row r="105" spans="1:10" ht="19.5" customHeight="1" thickBot="1">
      <c r="C105" s="198" t="s">
        <v>19</v>
      </c>
      <c r="D105" s="225">
        <f>COUNT(E91:E94,G91:G94)</f>
        <v>6</v>
      </c>
      <c r="F105" s="163"/>
      <c r="H105" s="144"/>
      <c r="J105" s="223"/>
    </row>
    <row r="106" spans="1:10" ht="19.5" customHeight="1" thickBot="1">
      <c r="A106" s="167"/>
      <c r="B106" s="167"/>
      <c r="C106" s="167"/>
      <c r="D106" s="167"/>
      <c r="E106" s="167"/>
    </row>
    <row r="107" spans="1:10" ht="26.25" customHeight="1">
      <c r="A107" s="117" t="s">
        <v>97</v>
      </c>
      <c r="B107" s="118">
        <v>900</v>
      </c>
      <c r="C107" s="201" t="s">
        <v>98</v>
      </c>
      <c r="D107" s="226" t="s">
        <v>57</v>
      </c>
      <c r="E107" s="227" t="s">
        <v>99</v>
      </c>
      <c r="F107" s="228" t="s">
        <v>100</v>
      </c>
    </row>
    <row r="108" spans="1:10" ht="26.25" customHeight="1">
      <c r="A108" s="119" t="s">
        <v>134</v>
      </c>
      <c r="B108" s="120">
        <v>5</v>
      </c>
      <c r="C108" s="229">
        <v>1</v>
      </c>
      <c r="D108" s="230">
        <v>87971681</v>
      </c>
      <c r="E108" s="231">
        <f t="shared" ref="E108:E113" si="1">IF(ISBLANK(D108),"-",D108/$D$103*$D$100*$B$116)</f>
        <v>829.01330730391555</v>
      </c>
      <c r="F108" s="232">
        <f t="shared" ref="F108:F113" si="2">IF(ISBLANK(D108), "-", E108/$B$56)</f>
        <v>1.0362666341298945</v>
      </c>
    </row>
    <row r="109" spans="1:10" ht="26.25" customHeight="1">
      <c r="A109" s="119" t="s">
        <v>127</v>
      </c>
      <c r="B109" s="120">
        <v>50</v>
      </c>
      <c r="C109" s="229">
        <v>2</v>
      </c>
      <c r="D109" s="230">
        <v>89247951</v>
      </c>
      <c r="E109" s="233">
        <f t="shared" si="1"/>
        <v>841.0404142283902</v>
      </c>
      <c r="F109" s="234">
        <f t="shared" si="2"/>
        <v>1.0513005177854877</v>
      </c>
    </row>
    <row r="110" spans="1:10" ht="26.25" customHeight="1">
      <c r="A110" s="119" t="s">
        <v>128</v>
      </c>
      <c r="B110" s="120">
        <v>1</v>
      </c>
      <c r="C110" s="229">
        <v>3</v>
      </c>
      <c r="D110" s="230">
        <v>88484560</v>
      </c>
      <c r="E110" s="233">
        <f t="shared" si="1"/>
        <v>833.84649352024724</v>
      </c>
      <c r="F110" s="234">
        <f t="shared" si="2"/>
        <v>1.042308116900309</v>
      </c>
    </row>
    <row r="111" spans="1:10" ht="26.25" customHeight="1">
      <c r="A111" s="119" t="s">
        <v>129</v>
      </c>
      <c r="B111" s="120">
        <v>1</v>
      </c>
      <c r="C111" s="229">
        <v>4</v>
      </c>
      <c r="D111" s="230">
        <v>87127453</v>
      </c>
      <c r="E111" s="233">
        <f t="shared" si="1"/>
        <v>821.05760794199739</v>
      </c>
      <c r="F111" s="234">
        <f t="shared" si="2"/>
        <v>1.0263220099274968</v>
      </c>
    </row>
    <row r="112" spans="1:10" ht="26.25" customHeight="1">
      <c r="A112" s="119" t="s">
        <v>130</v>
      </c>
      <c r="B112" s="120">
        <v>1</v>
      </c>
      <c r="C112" s="229">
        <v>5</v>
      </c>
      <c r="D112" s="230">
        <v>89798955</v>
      </c>
      <c r="E112" s="233">
        <f t="shared" si="1"/>
        <v>846.23287665704038</v>
      </c>
      <c r="F112" s="234">
        <f t="shared" si="2"/>
        <v>1.0577910958213004</v>
      </c>
    </row>
    <row r="113" spans="1:10" ht="26.25" customHeight="1">
      <c r="A113" s="119" t="s">
        <v>131</v>
      </c>
      <c r="B113" s="120">
        <v>1</v>
      </c>
      <c r="C113" s="235">
        <v>6</v>
      </c>
      <c r="D113" s="236">
        <v>83020802</v>
      </c>
      <c r="E113" s="237">
        <f t="shared" si="1"/>
        <v>782.35801406413441</v>
      </c>
      <c r="F113" s="238">
        <f t="shared" si="2"/>
        <v>0.97794751758016796</v>
      </c>
    </row>
    <row r="114" spans="1:10" ht="26.25" customHeight="1">
      <c r="A114" s="119" t="s">
        <v>132</v>
      </c>
      <c r="B114" s="120">
        <v>1</v>
      </c>
      <c r="C114" s="229"/>
      <c r="D114" s="149"/>
      <c r="E114" s="93"/>
      <c r="F114" s="239"/>
    </row>
    <row r="115" spans="1:10" ht="26.25" customHeight="1">
      <c r="A115" s="119" t="s">
        <v>133</v>
      </c>
      <c r="B115" s="120">
        <v>1</v>
      </c>
      <c r="C115" s="229"/>
      <c r="D115" s="240" t="s">
        <v>60</v>
      </c>
      <c r="E115" s="241">
        <f>AVERAGE(E108:E113)</f>
        <v>825.59145228595423</v>
      </c>
      <c r="F115" s="242">
        <f>AVERAGE(F108:F113)</f>
        <v>1.0319893153574426</v>
      </c>
    </row>
    <row r="116" spans="1:10" ht="27" customHeight="1" thickBot="1">
      <c r="A116" s="119" t="s">
        <v>82</v>
      </c>
      <c r="B116" s="131">
        <f>(B115/B114)*(B113/B112)*(B111/B110)*(B109/B108)*B107</f>
        <v>9000</v>
      </c>
      <c r="C116" s="243"/>
      <c r="D116" s="103" t="s">
        <v>71</v>
      </c>
      <c r="E116" s="244">
        <f>STDEV(E108:E113)/E115</f>
        <v>2.7802300943153741E-2</v>
      </c>
      <c r="F116" s="244">
        <f>STDEV(F108:F113)/F115</f>
        <v>2.7802300943152322E-2</v>
      </c>
      <c r="I116" s="93"/>
    </row>
    <row r="117" spans="1:10" ht="27" customHeight="1" thickBot="1">
      <c r="A117" s="267" t="s">
        <v>65</v>
      </c>
      <c r="B117" s="271"/>
      <c r="C117" s="245"/>
      <c r="D117" s="246" t="s">
        <v>19</v>
      </c>
      <c r="E117" s="247">
        <f>COUNT(E108:E113)</f>
        <v>6</v>
      </c>
      <c r="F117" s="247">
        <f>COUNT(F108:F113)</f>
        <v>6</v>
      </c>
      <c r="I117" s="93"/>
      <c r="J117" s="223"/>
    </row>
    <row r="118" spans="1:10" ht="19.5" customHeight="1" thickBot="1">
      <c r="A118" s="269"/>
      <c r="B118" s="272"/>
      <c r="C118" s="93"/>
      <c r="D118" s="93"/>
      <c r="E118" s="93"/>
      <c r="F118" s="149"/>
      <c r="G118" s="93"/>
      <c r="H118" s="93"/>
      <c r="I118" s="93"/>
    </row>
    <row r="119" spans="1:10" ht="18.75">
      <c r="A119" s="248"/>
      <c r="B119" s="115"/>
      <c r="C119" s="93"/>
      <c r="D119" s="93"/>
      <c r="E119" s="93"/>
      <c r="F119" s="149"/>
      <c r="G119" s="93"/>
      <c r="H119" s="93"/>
      <c r="I119" s="93"/>
    </row>
    <row r="120" spans="1:10" ht="26.25" customHeight="1">
      <c r="A120" s="102" t="s">
        <v>85</v>
      </c>
      <c r="B120" s="103" t="s">
        <v>101</v>
      </c>
      <c r="C120" s="273" t="str">
        <f>B20</f>
        <v>each tablets contains sulphamethoxazole 800mg Trimethoprim 160mg.</v>
      </c>
      <c r="D120" s="273"/>
      <c r="E120" s="93" t="s">
        <v>102</v>
      </c>
      <c r="F120" s="93"/>
      <c r="G120" s="200">
        <f>F115</f>
        <v>1.0319893153574426</v>
      </c>
      <c r="H120" s="93"/>
      <c r="I120" s="93"/>
    </row>
    <row r="121" spans="1:10" ht="19.5" customHeight="1" thickBot="1">
      <c r="A121" s="249"/>
      <c r="B121" s="249"/>
      <c r="C121" s="250"/>
      <c r="D121" s="250"/>
      <c r="E121" s="250"/>
      <c r="F121" s="250"/>
      <c r="G121" s="250"/>
      <c r="H121" s="250"/>
    </row>
    <row r="122" spans="1:10" ht="18.75">
      <c r="B122" s="274" t="s">
        <v>21</v>
      </c>
      <c r="C122" s="274"/>
      <c r="E122" s="203" t="s">
        <v>22</v>
      </c>
      <c r="F122" s="251"/>
      <c r="G122" s="274" t="s">
        <v>23</v>
      </c>
      <c r="H122" s="274"/>
    </row>
    <row r="123" spans="1:10" ht="69.95" customHeight="1">
      <c r="A123" s="102" t="s">
        <v>24</v>
      </c>
      <c r="B123" s="252"/>
      <c r="C123" s="252"/>
      <c r="E123" s="252"/>
      <c r="F123" s="93"/>
      <c r="G123" s="252"/>
      <c r="H123" s="252"/>
    </row>
    <row r="124" spans="1:10" ht="69.95" customHeight="1">
      <c r="A124" s="102" t="s">
        <v>25</v>
      </c>
      <c r="B124" s="253"/>
      <c r="C124" s="253"/>
      <c r="E124" s="253"/>
      <c r="F124" s="93"/>
      <c r="G124" s="254"/>
      <c r="H124" s="254"/>
    </row>
    <row r="125" spans="1:10" ht="18.75">
      <c r="A125" s="149"/>
      <c r="B125" s="149"/>
      <c r="C125" s="149"/>
      <c r="D125" s="149"/>
      <c r="E125" s="149"/>
      <c r="F125" s="151"/>
      <c r="G125" s="149"/>
      <c r="H125" s="149"/>
      <c r="I125" s="93"/>
    </row>
    <row r="126" spans="1:10" ht="18.75">
      <c r="A126" s="149"/>
      <c r="B126" s="149"/>
      <c r="C126" s="149"/>
      <c r="D126" s="149"/>
      <c r="E126" s="149"/>
      <c r="F126" s="151"/>
      <c r="G126" s="149"/>
      <c r="H126" s="149"/>
      <c r="I126" s="93"/>
    </row>
    <row r="127" spans="1:10" ht="18.75">
      <c r="A127" s="149"/>
      <c r="B127" s="149"/>
      <c r="C127" s="149"/>
      <c r="D127" s="149"/>
      <c r="E127" s="149"/>
      <c r="F127" s="151"/>
      <c r="G127" s="149"/>
      <c r="H127" s="149"/>
      <c r="I127" s="93"/>
    </row>
    <row r="128" spans="1:10" ht="18.75">
      <c r="A128" s="149"/>
      <c r="B128" s="149"/>
      <c r="C128" s="149"/>
      <c r="D128" s="149"/>
      <c r="E128" s="149"/>
      <c r="F128" s="151"/>
      <c r="G128" s="149"/>
      <c r="H128" s="149"/>
      <c r="I128" s="93"/>
    </row>
    <row r="129" spans="1:9" ht="18.75">
      <c r="A129" s="149"/>
      <c r="B129" s="149"/>
      <c r="C129" s="149"/>
      <c r="D129" s="149"/>
      <c r="E129" s="149"/>
      <c r="F129" s="151"/>
      <c r="G129" s="149"/>
      <c r="H129" s="149"/>
      <c r="I129" s="93"/>
    </row>
    <row r="130" spans="1:9" ht="18.75">
      <c r="A130" s="149"/>
      <c r="B130" s="149"/>
      <c r="C130" s="149"/>
      <c r="D130" s="149"/>
      <c r="E130" s="149"/>
      <c r="F130" s="151"/>
      <c r="G130" s="149"/>
      <c r="H130" s="149"/>
      <c r="I130" s="93"/>
    </row>
    <row r="131" spans="1:9" ht="18.75">
      <c r="A131" s="149"/>
      <c r="B131" s="149"/>
      <c r="C131" s="149"/>
      <c r="D131" s="149"/>
      <c r="E131" s="149"/>
      <c r="F131" s="151"/>
      <c r="G131" s="149"/>
      <c r="H131" s="149"/>
      <c r="I131" s="93"/>
    </row>
    <row r="132" spans="1:9" ht="18.75">
      <c r="A132" s="149"/>
      <c r="B132" s="149"/>
      <c r="C132" s="149"/>
      <c r="D132" s="149"/>
      <c r="E132" s="149"/>
      <c r="F132" s="151"/>
      <c r="G132" s="149"/>
      <c r="H132" s="149"/>
      <c r="I132" s="93"/>
    </row>
    <row r="133" spans="1:9" ht="18.75">
      <c r="A133" s="149"/>
      <c r="B133" s="149"/>
      <c r="C133" s="149"/>
      <c r="D133" s="149"/>
      <c r="E133" s="149"/>
      <c r="F133" s="151"/>
      <c r="G133" s="149"/>
      <c r="H133" s="149"/>
      <c r="I133" s="93"/>
    </row>
    <row r="250" spans="1:1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A70:B71"/>
    <mergeCell ref="C76:D76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17" priority="9" operator="greaterThan">
      <formula>0.02</formula>
    </cfRule>
  </conditionalFormatting>
  <conditionalFormatting sqref="D51">
    <cfRule type="cellIs" dxfId="16" priority="8" operator="greaterThan">
      <formula>0.02</formula>
    </cfRule>
  </conditionalFormatting>
  <conditionalFormatting sqref="G73">
    <cfRule type="cellIs" dxfId="15" priority="7" operator="greaterThan">
      <formula>0.02</formula>
    </cfRule>
  </conditionalFormatting>
  <conditionalFormatting sqref="H73">
    <cfRule type="cellIs" dxfId="14" priority="6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4" operator="lessThanOrEqual">
      <formula>0.02</formula>
    </cfRule>
  </conditionalFormatting>
  <conditionalFormatting sqref="I39">
    <cfRule type="cellIs" dxfId="11" priority="3" operator="greaterThan">
      <formula>0.02</formula>
    </cfRule>
  </conditionalFormatting>
  <conditionalFormatting sqref="I92">
    <cfRule type="cellIs" dxfId="10" priority="2" operator="lessThanOrEqual">
      <formula>0.02</formula>
    </cfRule>
  </conditionalFormatting>
  <conditionalFormatting sqref="I92">
    <cfRule type="cellIs" dxfId="9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zoomScale="60" zoomScaleNormal="60" zoomScaleSheetLayoutView="40" zoomScalePageLayoutView="55" workbookViewId="0">
      <selection activeCell="C32" sqref="C32:H32"/>
    </sheetView>
  </sheetViews>
  <sheetFormatPr defaultColWidth="9.140625" defaultRowHeight="13.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51"/>
  </cols>
  <sheetData>
    <row r="1" spans="1:9" ht="18.75" customHeight="1">
      <c r="A1" s="299" t="s">
        <v>40</v>
      </c>
      <c r="B1" s="299"/>
      <c r="C1" s="299"/>
      <c r="D1" s="299"/>
      <c r="E1" s="299"/>
      <c r="F1" s="299"/>
      <c r="G1" s="299"/>
      <c r="H1" s="299"/>
      <c r="I1" s="299"/>
    </row>
    <row r="2" spans="1:9" ht="18.75" customHeight="1">
      <c r="A2" s="299"/>
      <c r="B2" s="299"/>
      <c r="C2" s="299"/>
      <c r="D2" s="299"/>
      <c r="E2" s="299"/>
      <c r="F2" s="299"/>
      <c r="G2" s="299"/>
      <c r="H2" s="299"/>
      <c r="I2" s="299"/>
    </row>
    <row r="3" spans="1:9" ht="18.75" customHeight="1">
      <c r="A3" s="299"/>
      <c r="B3" s="299"/>
      <c r="C3" s="299"/>
      <c r="D3" s="299"/>
      <c r="E3" s="299"/>
      <c r="F3" s="299"/>
      <c r="G3" s="299"/>
      <c r="H3" s="299"/>
      <c r="I3" s="299"/>
    </row>
    <row r="4" spans="1:9" ht="18.75" customHeight="1">
      <c r="A4" s="299"/>
      <c r="B4" s="299"/>
      <c r="C4" s="299"/>
      <c r="D4" s="299"/>
      <c r="E4" s="299"/>
      <c r="F4" s="299"/>
      <c r="G4" s="299"/>
      <c r="H4" s="299"/>
      <c r="I4" s="299"/>
    </row>
    <row r="5" spans="1:9" ht="18.75" customHeight="1">
      <c r="A5" s="299"/>
      <c r="B5" s="299"/>
      <c r="C5" s="299"/>
      <c r="D5" s="299"/>
      <c r="E5" s="299"/>
      <c r="F5" s="299"/>
      <c r="G5" s="299"/>
      <c r="H5" s="299"/>
      <c r="I5" s="299"/>
    </row>
    <row r="6" spans="1:9" ht="18.75" customHeight="1">
      <c r="A6" s="299"/>
      <c r="B6" s="299"/>
      <c r="C6" s="299"/>
      <c r="D6" s="299"/>
      <c r="E6" s="299"/>
      <c r="F6" s="299"/>
      <c r="G6" s="299"/>
      <c r="H6" s="299"/>
      <c r="I6" s="299"/>
    </row>
    <row r="7" spans="1:9" ht="18.75" customHeight="1">
      <c r="A7" s="299"/>
      <c r="B7" s="299"/>
      <c r="C7" s="299"/>
      <c r="D7" s="299"/>
      <c r="E7" s="299"/>
      <c r="F7" s="299"/>
      <c r="G7" s="299"/>
      <c r="H7" s="299"/>
      <c r="I7" s="299"/>
    </row>
    <row r="8" spans="1:9">
      <c r="A8" s="300" t="s">
        <v>41</v>
      </c>
      <c r="B8" s="300"/>
      <c r="C8" s="300"/>
      <c r="D8" s="300"/>
      <c r="E8" s="300"/>
      <c r="F8" s="300"/>
      <c r="G8" s="300"/>
      <c r="H8" s="300"/>
      <c r="I8" s="300"/>
    </row>
    <row r="9" spans="1:9">
      <c r="A9" s="300"/>
      <c r="B9" s="300"/>
      <c r="C9" s="300"/>
      <c r="D9" s="300"/>
      <c r="E9" s="300"/>
      <c r="F9" s="300"/>
      <c r="G9" s="300"/>
      <c r="H9" s="300"/>
      <c r="I9" s="300"/>
    </row>
    <row r="10" spans="1:9">
      <c r="A10" s="300"/>
      <c r="B10" s="300"/>
      <c r="C10" s="300"/>
      <c r="D10" s="300"/>
      <c r="E10" s="300"/>
      <c r="F10" s="300"/>
      <c r="G10" s="300"/>
      <c r="H10" s="300"/>
      <c r="I10" s="300"/>
    </row>
    <row r="11" spans="1:9">
      <c r="A11" s="300"/>
      <c r="B11" s="300"/>
      <c r="C11" s="300"/>
      <c r="D11" s="300"/>
      <c r="E11" s="300"/>
      <c r="F11" s="300"/>
      <c r="G11" s="300"/>
      <c r="H11" s="300"/>
      <c r="I11" s="300"/>
    </row>
    <row r="12" spans="1:9">
      <c r="A12" s="300"/>
      <c r="B12" s="300"/>
      <c r="C12" s="300"/>
      <c r="D12" s="300"/>
      <c r="E12" s="300"/>
      <c r="F12" s="300"/>
      <c r="G12" s="300"/>
      <c r="H12" s="300"/>
      <c r="I12" s="300"/>
    </row>
    <row r="13" spans="1:9">
      <c r="A13" s="300"/>
      <c r="B13" s="300"/>
      <c r="C13" s="300"/>
      <c r="D13" s="300"/>
      <c r="E13" s="300"/>
      <c r="F13" s="300"/>
      <c r="G13" s="300"/>
      <c r="H13" s="300"/>
      <c r="I13" s="300"/>
    </row>
    <row r="14" spans="1:9">
      <c r="A14" s="300"/>
      <c r="B14" s="300"/>
      <c r="C14" s="300"/>
      <c r="D14" s="300"/>
      <c r="E14" s="300"/>
      <c r="F14" s="300"/>
      <c r="G14" s="300"/>
      <c r="H14" s="300"/>
      <c r="I14" s="300"/>
    </row>
    <row r="15" spans="1:9" ht="19.5" customHeight="1" thickBot="1">
      <c r="A15" s="93"/>
    </row>
    <row r="16" spans="1:9" ht="19.5" customHeight="1" thickBot="1">
      <c r="A16" s="301" t="s">
        <v>26</v>
      </c>
      <c r="B16" s="302"/>
      <c r="C16" s="302"/>
      <c r="D16" s="302"/>
      <c r="E16" s="302"/>
      <c r="F16" s="302"/>
      <c r="G16" s="302"/>
      <c r="H16" s="303"/>
    </row>
    <row r="17" spans="1:14" ht="20.25" customHeight="1">
      <c r="A17" s="304" t="s">
        <v>42</v>
      </c>
      <c r="B17" s="304"/>
      <c r="C17" s="304"/>
      <c r="D17" s="304"/>
      <c r="E17" s="304"/>
      <c r="F17" s="304"/>
      <c r="G17" s="304"/>
      <c r="H17" s="304"/>
    </row>
    <row r="18" spans="1:14" ht="26.25" customHeight="1">
      <c r="A18" s="94" t="s">
        <v>28</v>
      </c>
      <c r="B18" s="297" t="s">
        <v>114</v>
      </c>
      <c r="C18" s="297"/>
      <c r="D18" s="95"/>
      <c r="E18" s="96"/>
      <c r="F18" s="97"/>
      <c r="G18" s="97"/>
      <c r="H18" s="97"/>
    </row>
    <row r="19" spans="1:14" ht="26.25" customHeight="1">
      <c r="A19" s="94" t="s">
        <v>29</v>
      </c>
      <c r="B19" s="104" t="s">
        <v>6</v>
      </c>
      <c r="C19" s="97">
        <v>29</v>
      </c>
      <c r="D19" s="97"/>
      <c r="E19" s="97"/>
      <c r="F19" s="97"/>
      <c r="G19" s="97"/>
      <c r="H19" s="97"/>
    </row>
    <row r="20" spans="1:14" ht="26.25" customHeight="1">
      <c r="A20" s="94" t="s">
        <v>30</v>
      </c>
      <c r="B20" s="296" t="s">
        <v>115</v>
      </c>
      <c r="C20" s="296"/>
      <c r="D20" s="97"/>
      <c r="E20" s="97"/>
      <c r="F20" s="97"/>
      <c r="G20" s="97"/>
      <c r="H20" s="97"/>
    </row>
    <row r="21" spans="1:14" ht="26.25" customHeight="1">
      <c r="A21" s="94" t="s">
        <v>31</v>
      </c>
      <c r="B21" s="296" t="s">
        <v>116</v>
      </c>
      <c r="C21" s="296"/>
      <c r="D21" s="296"/>
      <c r="E21" s="296"/>
      <c r="F21" s="296"/>
      <c r="G21" s="296"/>
      <c r="H21" s="296"/>
      <c r="I21" s="98"/>
    </row>
    <row r="22" spans="1:14" ht="26.25" customHeight="1">
      <c r="A22" s="94" t="s">
        <v>32</v>
      </c>
      <c r="B22" s="99">
        <v>42466</v>
      </c>
      <c r="C22" s="97"/>
      <c r="D22" s="97"/>
      <c r="E22" s="97"/>
      <c r="F22" s="97"/>
      <c r="G22" s="97"/>
      <c r="H22" s="97"/>
    </row>
    <row r="23" spans="1:14" ht="26.25" customHeight="1">
      <c r="A23" s="94" t="s">
        <v>33</v>
      </c>
      <c r="B23" s="99">
        <v>42475</v>
      </c>
      <c r="C23" s="97"/>
      <c r="D23" s="97"/>
      <c r="E23" s="97"/>
      <c r="F23" s="97"/>
      <c r="G23" s="97"/>
      <c r="H23" s="97"/>
    </row>
    <row r="24" spans="1:14" ht="18.75">
      <c r="A24" s="94"/>
      <c r="B24" s="100"/>
    </row>
    <row r="25" spans="1:14" ht="18.75">
      <c r="A25" s="101" t="s">
        <v>1</v>
      </c>
      <c r="B25" s="100"/>
    </row>
    <row r="26" spans="1:14" ht="26.25" customHeight="1">
      <c r="A26" s="102" t="s">
        <v>3</v>
      </c>
      <c r="B26" s="305" t="s">
        <v>111</v>
      </c>
      <c r="C26" s="297"/>
    </row>
    <row r="27" spans="1:14" ht="26.25" customHeight="1">
      <c r="A27" s="103" t="s">
        <v>43</v>
      </c>
      <c r="B27" s="306" t="s">
        <v>135</v>
      </c>
      <c r="C27" s="298"/>
    </row>
    <row r="28" spans="1:14" ht="27" customHeight="1" thickBot="1">
      <c r="A28" s="103" t="s">
        <v>5</v>
      </c>
      <c r="B28" s="105">
        <v>99.6</v>
      </c>
    </row>
    <row r="29" spans="1:14" s="60" customFormat="1" ht="27" customHeight="1" thickBot="1">
      <c r="A29" s="103" t="s">
        <v>44</v>
      </c>
      <c r="B29" s="106">
        <v>0</v>
      </c>
      <c r="C29" s="276" t="s">
        <v>45</v>
      </c>
      <c r="D29" s="277"/>
      <c r="E29" s="277"/>
      <c r="F29" s="277"/>
      <c r="G29" s="278"/>
      <c r="I29" s="107"/>
      <c r="J29" s="107"/>
      <c r="K29" s="107"/>
      <c r="L29" s="107"/>
    </row>
    <row r="30" spans="1:14" s="60" customFormat="1" ht="19.5" customHeight="1" thickBot="1">
      <c r="A30" s="103" t="s">
        <v>46</v>
      </c>
      <c r="B30" s="108">
        <f>B28-B29</f>
        <v>99.6</v>
      </c>
      <c r="C30" s="109"/>
      <c r="D30" s="109"/>
      <c r="E30" s="109"/>
      <c r="F30" s="109"/>
      <c r="G30" s="110"/>
      <c r="I30" s="107"/>
      <c r="J30" s="107"/>
      <c r="K30" s="107"/>
      <c r="L30" s="107"/>
    </row>
    <row r="31" spans="1:14" s="60" customFormat="1" ht="27" customHeight="1" thickBot="1">
      <c r="A31" s="103" t="s">
        <v>47</v>
      </c>
      <c r="B31" s="111">
        <v>1</v>
      </c>
      <c r="C31" s="279" t="s">
        <v>48</v>
      </c>
      <c r="D31" s="280"/>
      <c r="E31" s="280"/>
      <c r="F31" s="280"/>
      <c r="G31" s="280"/>
      <c r="H31" s="281"/>
      <c r="I31" s="107"/>
      <c r="J31" s="107"/>
      <c r="K31" s="107"/>
      <c r="L31" s="107"/>
    </row>
    <row r="32" spans="1:14" s="60" customFormat="1" ht="27" customHeight="1" thickBot="1">
      <c r="A32" s="103" t="s">
        <v>49</v>
      </c>
      <c r="B32" s="111">
        <v>1</v>
      </c>
      <c r="C32" s="279" t="s">
        <v>50</v>
      </c>
      <c r="D32" s="280"/>
      <c r="E32" s="280"/>
      <c r="F32" s="280"/>
      <c r="G32" s="280"/>
      <c r="H32" s="281"/>
      <c r="I32" s="107"/>
      <c r="J32" s="107"/>
      <c r="K32" s="107"/>
      <c r="L32" s="112"/>
      <c r="M32" s="112"/>
      <c r="N32" s="113"/>
    </row>
    <row r="33" spans="1:14" s="60" customFormat="1" ht="17.25" customHeight="1">
      <c r="A33" s="103"/>
      <c r="B33" s="114"/>
      <c r="C33" s="115"/>
      <c r="D33" s="115"/>
      <c r="E33" s="115"/>
      <c r="F33" s="115"/>
      <c r="G33" s="115"/>
      <c r="H33" s="115"/>
      <c r="I33" s="107"/>
      <c r="J33" s="107"/>
      <c r="K33" s="107"/>
      <c r="L33" s="112"/>
      <c r="M33" s="112"/>
      <c r="N33" s="113"/>
    </row>
    <row r="34" spans="1:14" s="60" customFormat="1" ht="18.75">
      <c r="A34" s="103" t="s">
        <v>51</v>
      </c>
      <c r="B34" s="116">
        <f>B31/B32</f>
        <v>1</v>
      </c>
      <c r="C34" s="93" t="s">
        <v>52</v>
      </c>
      <c r="D34" s="93"/>
      <c r="E34" s="93"/>
      <c r="F34" s="93"/>
      <c r="G34" s="93"/>
      <c r="I34" s="107"/>
      <c r="J34" s="107"/>
      <c r="K34" s="107"/>
      <c r="L34" s="112"/>
      <c r="M34" s="112"/>
      <c r="N34" s="113"/>
    </row>
    <row r="35" spans="1:14" s="60" customFormat="1" ht="19.5" customHeight="1" thickBot="1">
      <c r="A35" s="103"/>
      <c r="B35" s="108"/>
      <c r="G35" s="93"/>
      <c r="I35" s="107"/>
      <c r="J35" s="107"/>
      <c r="K35" s="107"/>
      <c r="L35" s="112"/>
      <c r="M35" s="112"/>
      <c r="N35" s="113"/>
    </row>
    <row r="36" spans="1:14" s="60" customFormat="1" ht="27" customHeight="1" thickBot="1">
      <c r="A36" s="117" t="s">
        <v>53</v>
      </c>
      <c r="B36" s="118">
        <v>100</v>
      </c>
      <c r="C36" s="93"/>
      <c r="D36" s="282" t="s">
        <v>54</v>
      </c>
      <c r="E36" s="295"/>
      <c r="F36" s="282" t="s">
        <v>55</v>
      </c>
      <c r="G36" s="283"/>
      <c r="J36" s="107"/>
      <c r="K36" s="107"/>
      <c r="L36" s="112"/>
      <c r="M36" s="112"/>
      <c r="N36" s="113"/>
    </row>
    <row r="37" spans="1:14" s="60" customFormat="1" ht="27" customHeight="1" thickBot="1">
      <c r="A37" s="119" t="s">
        <v>118</v>
      </c>
      <c r="B37" s="120">
        <v>3</v>
      </c>
      <c r="C37" s="121" t="s">
        <v>56</v>
      </c>
      <c r="D37" s="122" t="s">
        <v>57</v>
      </c>
      <c r="E37" s="123" t="s">
        <v>58</v>
      </c>
      <c r="F37" s="122" t="s">
        <v>57</v>
      </c>
      <c r="G37" s="124" t="s">
        <v>58</v>
      </c>
      <c r="I37" s="125" t="s">
        <v>59</v>
      </c>
      <c r="J37" s="107"/>
      <c r="K37" s="107"/>
      <c r="L37" s="112"/>
      <c r="M37" s="112"/>
      <c r="N37" s="113"/>
    </row>
    <row r="38" spans="1:14" s="60" customFormat="1" ht="26.25" customHeight="1">
      <c r="A38" s="119" t="s">
        <v>119</v>
      </c>
      <c r="B38" s="120">
        <v>20</v>
      </c>
      <c r="C38" s="126">
        <v>1</v>
      </c>
      <c r="D38" s="127">
        <v>15439948</v>
      </c>
      <c r="E38" s="128">
        <f>IF(ISBLANK(D38),"-",$D$48/$D$45*D38)</f>
        <v>12275738.340642948</v>
      </c>
      <c r="F38" s="127">
        <v>13343998</v>
      </c>
      <c r="G38" s="129">
        <f>IF(ISBLANK(F38),"-",$D$48/$F$45*F38)</f>
        <v>11781336.282199424</v>
      </c>
      <c r="I38" s="130"/>
      <c r="J38" s="107"/>
      <c r="K38" s="107"/>
      <c r="L38" s="112"/>
      <c r="M38" s="112"/>
      <c r="N38" s="113"/>
    </row>
    <row r="39" spans="1:14" s="60" customFormat="1" ht="26.25" customHeight="1">
      <c r="A39" s="119" t="s">
        <v>120</v>
      </c>
      <c r="B39" s="120">
        <v>1</v>
      </c>
      <c r="C39" s="131">
        <v>2</v>
      </c>
      <c r="D39" s="132">
        <v>15330795</v>
      </c>
      <c r="E39" s="133">
        <f>IF(ISBLANK(D39),"-",$D$48/$D$45*D39)</f>
        <v>12188954.779772393</v>
      </c>
      <c r="F39" s="132">
        <v>13380090</v>
      </c>
      <c r="G39" s="134">
        <f>IF(ISBLANK(F39),"-",$D$48/$F$45*F39)</f>
        <v>11813201.693832215</v>
      </c>
      <c r="I39" s="266">
        <f>ABS((F43/D43*D42)-F42)/D42</f>
        <v>3.0772189744081864E-2</v>
      </c>
      <c r="J39" s="107"/>
      <c r="K39" s="107"/>
      <c r="L39" s="112"/>
      <c r="M39" s="112"/>
      <c r="N39" s="113"/>
    </row>
    <row r="40" spans="1:14" ht="26.25" customHeight="1">
      <c r="A40" s="119" t="s">
        <v>121</v>
      </c>
      <c r="B40" s="120">
        <v>1</v>
      </c>
      <c r="C40" s="131">
        <v>3</v>
      </c>
      <c r="D40" s="132">
        <v>15345510</v>
      </c>
      <c r="E40" s="133">
        <f>IF(ISBLANK(D40),"-",$D$48/$D$45*D40)</f>
        <v>12200654.138454337</v>
      </c>
      <c r="F40" s="132">
        <v>13385407</v>
      </c>
      <c r="G40" s="134">
        <f>IF(ISBLANK(F40),"-",$D$48/$F$45*F40)</f>
        <v>11817896.041434221</v>
      </c>
      <c r="I40" s="266"/>
      <c r="L40" s="112"/>
      <c r="M40" s="112"/>
      <c r="N40" s="93"/>
    </row>
    <row r="41" spans="1:14" ht="27" customHeight="1" thickBot="1">
      <c r="A41" s="119" t="s">
        <v>122</v>
      </c>
      <c r="B41" s="120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  <c r="I41" s="139"/>
      <c r="L41" s="112"/>
      <c r="M41" s="112"/>
      <c r="N41" s="93"/>
    </row>
    <row r="42" spans="1:14" ht="27" customHeight="1" thickBot="1">
      <c r="A42" s="119" t="s">
        <v>123</v>
      </c>
      <c r="B42" s="120">
        <v>1</v>
      </c>
      <c r="C42" s="140" t="s">
        <v>60</v>
      </c>
      <c r="D42" s="141">
        <f>AVERAGE(D38:D41)</f>
        <v>15372084.333333334</v>
      </c>
      <c r="E42" s="142">
        <f>AVERAGE(E38:E41)</f>
        <v>12221782.419623226</v>
      </c>
      <c r="F42" s="141">
        <f>AVERAGE(F38:F41)</f>
        <v>13369831.666666666</v>
      </c>
      <c r="G42" s="143">
        <f>AVERAGE(G38:G41)</f>
        <v>11804144.672488621</v>
      </c>
      <c r="H42" s="144"/>
    </row>
    <row r="43" spans="1:14" ht="26.25" customHeight="1">
      <c r="A43" s="119" t="s">
        <v>124</v>
      </c>
      <c r="B43" s="120">
        <v>1</v>
      </c>
      <c r="C43" s="145" t="s">
        <v>61</v>
      </c>
      <c r="D43" s="146">
        <v>26.94</v>
      </c>
      <c r="E43" s="93"/>
      <c r="F43" s="146">
        <v>24.26</v>
      </c>
      <c r="H43" s="144"/>
    </row>
    <row r="44" spans="1:14" ht="26.25" customHeight="1">
      <c r="A44" s="119" t="s">
        <v>125</v>
      </c>
      <c r="B44" s="120">
        <v>1</v>
      </c>
      <c r="C44" s="147" t="s">
        <v>62</v>
      </c>
      <c r="D44" s="148">
        <f>D43*$B$34</f>
        <v>26.94</v>
      </c>
      <c r="E44" s="149"/>
      <c r="F44" s="148">
        <f>F43*$B$34</f>
        <v>24.26</v>
      </c>
      <c r="H44" s="144"/>
    </row>
    <row r="45" spans="1:14" ht="19.5" customHeight="1" thickBot="1">
      <c r="A45" s="119" t="s">
        <v>63</v>
      </c>
      <c r="B45" s="131">
        <f>(B44/B43)*(B42/B41)*(B40/B39)*(B38/B37)*B36</f>
        <v>666.66666666666674</v>
      </c>
      <c r="C45" s="147" t="s">
        <v>64</v>
      </c>
      <c r="D45" s="150">
        <f>D44*$B$30/100</f>
        <v>26.832240000000002</v>
      </c>
      <c r="E45" s="151"/>
      <c r="F45" s="150">
        <f>F44*$B$30/100</f>
        <v>24.162959999999998</v>
      </c>
      <c r="H45" s="144"/>
    </row>
    <row r="46" spans="1:14" ht="19.5" customHeight="1" thickBot="1">
      <c r="A46" s="267" t="s">
        <v>65</v>
      </c>
      <c r="B46" s="271"/>
      <c r="C46" s="147" t="s">
        <v>66</v>
      </c>
      <c r="D46" s="152">
        <f>D45/$B$45</f>
        <v>4.0248359999999997E-2</v>
      </c>
      <c r="E46" s="153"/>
      <c r="F46" s="154">
        <f>F45/$B$45</f>
        <v>3.6244439999999996E-2</v>
      </c>
      <c r="H46" s="144"/>
    </row>
    <row r="47" spans="1:14" ht="27" customHeight="1" thickBot="1">
      <c r="A47" s="269"/>
      <c r="B47" s="272"/>
      <c r="C47" s="155" t="s">
        <v>67</v>
      </c>
      <c r="D47" s="156">
        <v>3.2000000000000001E-2</v>
      </c>
      <c r="E47" s="157"/>
      <c r="F47" s="153"/>
      <c r="H47" s="144"/>
    </row>
    <row r="48" spans="1:14" ht="18.75">
      <c r="C48" s="158" t="s">
        <v>68</v>
      </c>
      <c r="D48" s="150">
        <f>D47*$B$45</f>
        <v>21.333333333333336</v>
      </c>
      <c r="F48" s="159"/>
      <c r="H48" s="144"/>
    </row>
    <row r="49" spans="1:12" ht="19.5" customHeight="1" thickBot="1">
      <c r="C49" s="160" t="s">
        <v>69</v>
      </c>
      <c r="D49" s="161">
        <f>D48/B34</f>
        <v>21.333333333333336</v>
      </c>
      <c r="F49" s="159"/>
      <c r="H49" s="144"/>
    </row>
    <row r="50" spans="1:12" ht="18.75">
      <c r="C50" s="117" t="s">
        <v>70</v>
      </c>
      <c r="D50" s="162">
        <f>AVERAGE(E38:E41,G38:G41)</f>
        <v>12012963.546055922</v>
      </c>
      <c r="F50" s="163"/>
      <c r="H50" s="144"/>
    </row>
    <row r="51" spans="1:12" ht="18.75">
      <c r="C51" s="119" t="s">
        <v>71</v>
      </c>
      <c r="D51" s="164">
        <f>STDEV(E38:E41,G38:G41)/D50</f>
        <v>1.9231157607895694E-2</v>
      </c>
      <c r="F51" s="163"/>
      <c r="H51" s="144"/>
    </row>
    <row r="52" spans="1:12" ht="19.5" customHeight="1" thickBot="1">
      <c r="C52" s="165" t="s">
        <v>19</v>
      </c>
      <c r="D52" s="166">
        <f>COUNT(E38:E41,G38:G41)</f>
        <v>6</v>
      </c>
      <c r="F52" s="163"/>
    </row>
    <row r="54" spans="1:12" ht="18.75">
      <c r="A54" s="167" t="s">
        <v>1</v>
      </c>
      <c r="B54" s="168" t="s">
        <v>72</v>
      </c>
    </row>
    <row r="55" spans="1:12" ht="18.75">
      <c r="A55" s="93" t="s">
        <v>73</v>
      </c>
      <c r="B55" s="169" t="str">
        <f>B21</f>
        <v>Each tablet contains: Sulphamethoxazole B.P. 800 mg and Trimethoprim B.P. 160 mg.</v>
      </c>
    </row>
    <row r="56" spans="1:12" ht="26.25" customHeight="1">
      <c r="A56" s="169" t="s">
        <v>74</v>
      </c>
      <c r="B56" s="170">
        <v>160</v>
      </c>
      <c r="C56" s="93" t="str">
        <f>B20</f>
        <v>each tablets contains sulphamethoxazole 800mg Trimethoprim 160mg.</v>
      </c>
      <c r="H56" s="149"/>
    </row>
    <row r="57" spans="1:12" ht="18.75">
      <c r="A57" s="169" t="s">
        <v>75</v>
      </c>
      <c r="B57" s="171">
        <f>Uniformity!C46</f>
        <v>1041.2014999999999</v>
      </c>
      <c r="H57" s="149"/>
    </row>
    <row r="58" spans="1:12" ht="19.5" customHeight="1" thickBot="1">
      <c r="H58" s="149"/>
    </row>
    <row r="59" spans="1:12" s="60" customFormat="1" ht="27" customHeight="1" thickBot="1">
      <c r="A59" s="117" t="s">
        <v>76</v>
      </c>
      <c r="B59" s="118">
        <v>200</v>
      </c>
      <c r="C59" s="93"/>
      <c r="D59" s="172" t="s">
        <v>77</v>
      </c>
      <c r="E59" s="173" t="s">
        <v>56</v>
      </c>
      <c r="F59" s="173" t="s">
        <v>57</v>
      </c>
      <c r="G59" s="173" t="s">
        <v>78</v>
      </c>
      <c r="H59" s="121" t="s">
        <v>79</v>
      </c>
      <c r="L59" s="107"/>
    </row>
    <row r="60" spans="1:12" s="60" customFormat="1" ht="26.25" customHeight="1">
      <c r="A60" s="119" t="s">
        <v>126</v>
      </c>
      <c r="B60" s="120">
        <v>2</v>
      </c>
      <c r="C60" s="284" t="s">
        <v>80</v>
      </c>
      <c r="D60" s="287">
        <f>Sulfamethoxazole!D60</f>
        <v>1035.3</v>
      </c>
      <c r="E60" s="174">
        <v>1</v>
      </c>
      <c r="F60" s="175">
        <v>11630072</v>
      </c>
      <c r="G60" s="176">
        <f>IF(ISBLANK(F60),"-",(F60/$D$50*$D$47*$B$68)*($B$57/$D$60))</f>
        <v>155.78326361559144</v>
      </c>
      <c r="H60" s="177">
        <f t="shared" ref="H60:H71" si="0">IF(ISBLANK(F60),"-",G60/$B$56)</f>
        <v>0.9736453975974465</v>
      </c>
      <c r="L60" s="107"/>
    </row>
    <row r="61" spans="1:12" s="60" customFormat="1" ht="26.25" customHeight="1">
      <c r="A61" s="119" t="s">
        <v>127</v>
      </c>
      <c r="B61" s="120">
        <v>50</v>
      </c>
      <c r="C61" s="285"/>
      <c r="D61" s="288"/>
      <c r="E61" s="178">
        <v>2</v>
      </c>
      <c r="F61" s="132">
        <v>11682596</v>
      </c>
      <c r="G61" s="179">
        <f>IF(ISBLANK(F61),"-",(F61/$D$50*$D$47*$B$68)*($B$57/$D$60))</f>
        <v>156.48681559172238</v>
      </c>
      <c r="H61" s="180">
        <f t="shared" si="0"/>
        <v>0.97804259744826483</v>
      </c>
      <c r="L61" s="107"/>
    </row>
    <row r="62" spans="1:12" s="60" customFormat="1" ht="26.25" customHeight="1">
      <c r="A62" s="119" t="s">
        <v>128</v>
      </c>
      <c r="B62" s="120">
        <v>1</v>
      </c>
      <c r="C62" s="285"/>
      <c r="D62" s="288"/>
      <c r="E62" s="178">
        <v>3</v>
      </c>
      <c r="F62" s="181">
        <v>11648819</v>
      </c>
      <c r="G62" s="179">
        <f>IF(ISBLANK(F62),"-",(F62/$D$50*$D$47*$B$68)*($B$57/$D$60))</f>
        <v>156.03437718075261</v>
      </c>
      <c r="H62" s="180">
        <f t="shared" si="0"/>
        <v>0.97521485737970381</v>
      </c>
      <c r="L62" s="107"/>
    </row>
    <row r="63" spans="1:12" ht="27" customHeight="1" thickBot="1">
      <c r="A63" s="119" t="s">
        <v>129</v>
      </c>
      <c r="B63" s="120">
        <v>1</v>
      </c>
      <c r="C63" s="286"/>
      <c r="D63" s="289"/>
      <c r="E63" s="182">
        <v>4</v>
      </c>
      <c r="F63" s="183"/>
      <c r="G63" s="179" t="str">
        <f>IF(ISBLANK(F63),"-",(F63/$D$50*$D$47*$B$68)*($B$57/$D$60))</f>
        <v>-</v>
      </c>
      <c r="H63" s="180" t="str">
        <f t="shared" si="0"/>
        <v>-</v>
      </c>
    </row>
    <row r="64" spans="1:12" ht="26.25" customHeight="1">
      <c r="A64" s="119" t="s">
        <v>130</v>
      </c>
      <c r="B64" s="120">
        <v>1</v>
      </c>
      <c r="C64" s="284" t="s">
        <v>81</v>
      </c>
      <c r="D64" s="287">
        <f>Sulfamethoxazole!D64</f>
        <v>1027.05</v>
      </c>
      <c r="E64" s="174">
        <v>1</v>
      </c>
      <c r="F64" s="175">
        <v>11759797</v>
      </c>
      <c r="G64" s="184">
        <f>IF(ISBLANK(F64),"-",(F64/$D$50*$D$47*$B$68)*($B$57/$D$64))</f>
        <v>158.78623329955656</v>
      </c>
      <c r="H64" s="185">
        <f t="shared" si="0"/>
        <v>0.99241395812222843</v>
      </c>
    </row>
    <row r="65" spans="1:8" ht="26.25" customHeight="1">
      <c r="A65" s="119" t="s">
        <v>131</v>
      </c>
      <c r="B65" s="120">
        <v>1</v>
      </c>
      <c r="C65" s="285"/>
      <c r="D65" s="288"/>
      <c r="E65" s="178">
        <v>2</v>
      </c>
      <c r="F65" s="132">
        <v>11768050</v>
      </c>
      <c r="G65" s="186">
        <f>IF(ISBLANK(F65),"-",(F65/$D$50*$D$47*$B$68)*($B$57/$D$64))</f>
        <v>158.89766913330618</v>
      </c>
      <c r="H65" s="187">
        <f t="shared" si="0"/>
        <v>0.99311043208316363</v>
      </c>
    </row>
    <row r="66" spans="1:8" ht="26.25" customHeight="1">
      <c r="A66" s="119" t="s">
        <v>132</v>
      </c>
      <c r="B66" s="120">
        <v>1</v>
      </c>
      <c r="C66" s="285"/>
      <c r="D66" s="288"/>
      <c r="E66" s="178">
        <v>3</v>
      </c>
      <c r="F66" s="132">
        <v>11803231</v>
      </c>
      <c r="G66" s="186">
        <f>IF(ISBLANK(F66),"-",(F66/$D$50*$D$47*$B$68)*($B$57/$D$64))</f>
        <v>159.37269931228903</v>
      </c>
      <c r="H66" s="187">
        <f t="shared" si="0"/>
        <v>0.99607937070180641</v>
      </c>
    </row>
    <row r="67" spans="1:8" ht="27" customHeight="1" thickBot="1">
      <c r="A67" s="119" t="s">
        <v>133</v>
      </c>
      <c r="B67" s="120">
        <v>1</v>
      </c>
      <c r="C67" s="286"/>
      <c r="D67" s="289"/>
      <c r="E67" s="182">
        <v>4</v>
      </c>
      <c r="F67" s="183"/>
      <c r="G67" s="188" t="str">
        <f>IF(ISBLANK(F67),"-",(F67/$D$50*$D$47*$B$68)*($B$57/$D$64))</f>
        <v>-</v>
      </c>
      <c r="H67" s="189" t="str">
        <f t="shared" si="0"/>
        <v>-</v>
      </c>
    </row>
    <row r="68" spans="1:8" ht="26.25" customHeight="1">
      <c r="A68" s="119" t="s">
        <v>82</v>
      </c>
      <c r="B68" s="190">
        <f>(B67/B66)*(B65/B64)*(B63/B62)*(B61/B60)*B59</f>
        <v>5000</v>
      </c>
      <c r="C68" s="284" t="s">
        <v>83</v>
      </c>
      <c r="D68" s="287">
        <f>Sulfamethoxazole!D68</f>
        <v>1013.43</v>
      </c>
      <c r="E68" s="174">
        <v>1</v>
      </c>
      <c r="F68" s="175">
        <v>11627669</v>
      </c>
      <c r="G68" s="184">
        <f>IF(ISBLANK(F68),"-",(F68/$D$50*$D$47*$B$68)*($B$57/$D$68))</f>
        <v>159.11221172161186</v>
      </c>
      <c r="H68" s="180">
        <f t="shared" si="0"/>
        <v>0.99445132326007413</v>
      </c>
    </row>
    <row r="69" spans="1:8" ht="27" customHeight="1" thickBot="1">
      <c r="A69" s="165" t="s">
        <v>84</v>
      </c>
      <c r="B69" s="191">
        <f>(D47*B68)/B56*B57</f>
        <v>1041.2014999999999</v>
      </c>
      <c r="C69" s="285"/>
      <c r="D69" s="288"/>
      <c r="E69" s="178">
        <v>2</v>
      </c>
      <c r="F69" s="132">
        <v>11651197</v>
      </c>
      <c r="G69" s="186">
        <f>IF(ISBLANK(F69),"-",(F69/$D$50*$D$47*$B$68)*($B$57/$D$68))</f>
        <v>159.43416723284855</v>
      </c>
      <c r="H69" s="180">
        <f t="shared" si="0"/>
        <v>0.99646354520530345</v>
      </c>
    </row>
    <row r="70" spans="1:8" ht="26.25" customHeight="1">
      <c r="A70" s="291" t="s">
        <v>65</v>
      </c>
      <c r="B70" s="292"/>
      <c r="C70" s="285"/>
      <c r="D70" s="288"/>
      <c r="E70" s="178">
        <v>3</v>
      </c>
      <c r="F70" s="132">
        <v>11647550</v>
      </c>
      <c r="G70" s="186">
        <f>IF(ISBLANK(F70),"-",(F70/$D$50*$D$47*$B$68)*($B$57/$D$68))</f>
        <v>159.38426193917806</v>
      </c>
      <c r="H70" s="180">
        <f t="shared" si="0"/>
        <v>0.99615163711986288</v>
      </c>
    </row>
    <row r="71" spans="1:8" ht="27" customHeight="1" thickBot="1">
      <c r="A71" s="293"/>
      <c r="B71" s="294"/>
      <c r="C71" s="290"/>
      <c r="D71" s="289"/>
      <c r="E71" s="182">
        <v>4</v>
      </c>
      <c r="F71" s="183"/>
      <c r="G71" s="188" t="str">
        <f>IF(ISBLANK(F71),"-",(F71/$D$50*$D$47*$B$68)*($B$57/$D$68))</f>
        <v>-</v>
      </c>
      <c r="H71" s="192" t="str">
        <f t="shared" si="0"/>
        <v>-</v>
      </c>
    </row>
    <row r="72" spans="1:8" ht="26.25" customHeight="1">
      <c r="A72" s="149"/>
      <c r="B72" s="149"/>
      <c r="C72" s="149"/>
      <c r="D72" s="149"/>
      <c r="E72" s="149"/>
      <c r="F72" s="193" t="s">
        <v>60</v>
      </c>
      <c r="G72" s="194">
        <f>AVERAGE(G60:G71)</f>
        <v>158.14352211409516</v>
      </c>
      <c r="H72" s="195">
        <f>AVERAGE(H60:H71)</f>
        <v>0.98839701321309492</v>
      </c>
    </row>
    <row r="73" spans="1:8" ht="26.25" customHeight="1">
      <c r="C73" s="149"/>
      <c r="D73" s="149"/>
      <c r="E73" s="149"/>
      <c r="F73" s="196" t="s">
        <v>71</v>
      </c>
      <c r="G73" s="197">
        <f>STDEV(G60:G71)/G72</f>
        <v>9.847073025681545E-3</v>
      </c>
      <c r="H73" s="197">
        <f>STDEV(H60:H71)/H72</f>
        <v>9.8470730256712824E-3</v>
      </c>
    </row>
    <row r="74" spans="1:8" ht="27" customHeight="1" thickBot="1">
      <c r="A74" s="149"/>
      <c r="B74" s="149"/>
      <c r="C74" s="149"/>
      <c r="D74" s="149"/>
      <c r="E74" s="151"/>
      <c r="F74" s="198" t="s">
        <v>19</v>
      </c>
      <c r="G74" s="199">
        <f>COUNT(G60:G71)</f>
        <v>9</v>
      </c>
      <c r="H74" s="199">
        <f>COUNT(H60:H71)</f>
        <v>9</v>
      </c>
    </row>
    <row r="76" spans="1:8" ht="26.25" customHeight="1">
      <c r="A76" s="102" t="s">
        <v>85</v>
      </c>
      <c r="B76" s="103" t="s">
        <v>86</v>
      </c>
      <c r="C76" s="273" t="str">
        <f>B20</f>
        <v>each tablets contains sulphamethoxazole 800mg Trimethoprim 160mg.</v>
      </c>
      <c r="D76" s="273"/>
      <c r="E76" s="93" t="s">
        <v>87</v>
      </c>
      <c r="F76" s="93"/>
      <c r="G76" s="200">
        <f>H72</f>
        <v>0.98839701321309492</v>
      </c>
      <c r="H76" s="108"/>
    </row>
    <row r="77" spans="1:8" ht="18.75">
      <c r="A77" s="101" t="s">
        <v>88</v>
      </c>
      <c r="B77" s="101" t="s">
        <v>89</v>
      </c>
    </row>
    <row r="78" spans="1:8" ht="18.75">
      <c r="A78" s="101"/>
      <c r="B78" s="101"/>
    </row>
    <row r="79" spans="1:8" ht="26.25" customHeight="1">
      <c r="A79" s="102" t="s">
        <v>3</v>
      </c>
      <c r="B79" s="275" t="str">
        <f>B26</f>
        <v>Trimethoprim</v>
      </c>
      <c r="C79" s="275"/>
    </row>
    <row r="80" spans="1:8" ht="26.25" customHeight="1">
      <c r="A80" s="103" t="s">
        <v>43</v>
      </c>
      <c r="B80" s="275" t="str">
        <f>B27</f>
        <v>T7-001</v>
      </c>
      <c r="C80" s="275"/>
    </row>
    <row r="81" spans="1:12" ht="27" customHeight="1" thickBot="1">
      <c r="A81" s="103" t="s">
        <v>5</v>
      </c>
      <c r="B81" s="105">
        <f>B28</f>
        <v>99.6</v>
      </c>
    </row>
    <row r="82" spans="1:12" s="60" customFormat="1" ht="27" customHeight="1" thickBot="1">
      <c r="A82" s="103" t="s">
        <v>44</v>
      </c>
      <c r="B82" s="106">
        <v>0</v>
      </c>
      <c r="C82" s="276" t="s">
        <v>45</v>
      </c>
      <c r="D82" s="277"/>
      <c r="E82" s="277"/>
      <c r="F82" s="277"/>
      <c r="G82" s="278"/>
      <c r="I82" s="107"/>
      <c r="J82" s="107"/>
      <c r="K82" s="107"/>
      <c r="L82" s="107"/>
    </row>
    <row r="83" spans="1:12" s="60" customFormat="1" ht="19.5" customHeight="1" thickBot="1">
      <c r="A83" s="103" t="s">
        <v>46</v>
      </c>
      <c r="B83" s="108">
        <f>B81-B82</f>
        <v>99.6</v>
      </c>
      <c r="C83" s="109"/>
      <c r="D83" s="109"/>
      <c r="E83" s="109"/>
      <c r="F83" s="109"/>
      <c r="G83" s="110"/>
      <c r="I83" s="107"/>
      <c r="J83" s="107"/>
      <c r="K83" s="107"/>
      <c r="L83" s="107"/>
    </row>
    <row r="84" spans="1:12" s="60" customFormat="1" ht="27" customHeight="1" thickBot="1">
      <c r="A84" s="103" t="s">
        <v>47</v>
      </c>
      <c r="B84" s="111">
        <v>1</v>
      </c>
      <c r="C84" s="279" t="s">
        <v>90</v>
      </c>
      <c r="D84" s="280"/>
      <c r="E84" s="280"/>
      <c r="F84" s="280"/>
      <c r="G84" s="280"/>
      <c r="H84" s="281"/>
      <c r="I84" s="107"/>
      <c r="J84" s="107"/>
      <c r="K84" s="107"/>
      <c r="L84" s="107"/>
    </row>
    <row r="85" spans="1:12" s="60" customFormat="1" ht="27" customHeight="1" thickBot="1">
      <c r="A85" s="103" t="s">
        <v>49</v>
      </c>
      <c r="B85" s="111">
        <v>1</v>
      </c>
      <c r="C85" s="279" t="s">
        <v>91</v>
      </c>
      <c r="D85" s="280"/>
      <c r="E85" s="280"/>
      <c r="F85" s="280"/>
      <c r="G85" s="280"/>
      <c r="H85" s="281"/>
      <c r="I85" s="107"/>
      <c r="J85" s="107"/>
      <c r="K85" s="107"/>
      <c r="L85" s="107"/>
    </row>
    <row r="86" spans="1:12" s="60" customFormat="1" ht="18.75">
      <c r="A86" s="103"/>
      <c r="B86" s="114"/>
      <c r="C86" s="115"/>
      <c r="D86" s="115"/>
      <c r="E86" s="115"/>
      <c r="F86" s="115"/>
      <c r="G86" s="115"/>
      <c r="H86" s="115"/>
      <c r="I86" s="107"/>
      <c r="J86" s="107"/>
      <c r="K86" s="107"/>
      <c r="L86" s="107"/>
    </row>
    <row r="87" spans="1:12" s="60" customFormat="1" ht="18.75">
      <c r="A87" s="103" t="s">
        <v>51</v>
      </c>
      <c r="B87" s="116">
        <f>B84/B85</f>
        <v>1</v>
      </c>
      <c r="C87" s="93" t="s">
        <v>52</v>
      </c>
      <c r="D87" s="93"/>
      <c r="E87" s="93"/>
      <c r="F87" s="93"/>
      <c r="G87" s="93"/>
      <c r="I87" s="107"/>
      <c r="J87" s="107"/>
      <c r="K87" s="107"/>
      <c r="L87" s="107"/>
    </row>
    <row r="88" spans="1:12" ht="19.5" customHeight="1" thickBot="1">
      <c r="A88" s="101"/>
      <c r="B88" s="101"/>
    </row>
    <row r="89" spans="1:12" ht="27" customHeight="1" thickBot="1">
      <c r="A89" s="117" t="s">
        <v>53</v>
      </c>
      <c r="B89" s="118">
        <v>100</v>
      </c>
      <c r="D89" s="201" t="s">
        <v>54</v>
      </c>
      <c r="E89" s="202"/>
      <c r="F89" s="282" t="s">
        <v>55</v>
      </c>
      <c r="G89" s="283"/>
    </row>
    <row r="90" spans="1:12" ht="27" customHeight="1" thickBot="1">
      <c r="A90" s="119" t="s">
        <v>118</v>
      </c>
      <c r="B90" s="120">
        <v>3</v>
      </c>
      <c r="C90" s="203" t="s">
        <v>56</v>
      </c>
      <c r="D90" s="122" t="s">
        <v>57</v>
      </c>
      <c r="E90" s="123" t="s">
        <v>58</v>
      </c>
      <c r="F90" s="122" t="s">
        <v>57</v>
      </c>
      <c r="G90" s="204" t="s">
        <v>58</v>
      </c>
      <c r="I90" s="125" t="s">
        <v>59</v>
      </c>
    </row>
    <row r="91" spans="1:12" ht="26.25" customHeight="1">
      <c r="A91" s="119" t="s">
        <v>119</v>
      </c>
      <c r="B91" s="120">
        <v>20</v>
      </c>
      <c r="C91" s="205">
        <v>1</v>
      </c>
      <c r="D91" s="127">
        <v>15439948</v>
      </c>
      <c r="E91" s="128">
        <f>IF(ISBLANK(D91),"-",$D$101/$D$98*D91)</f>
        <v>6819854.6336905267</v>
      </c>
      <c r="F91" s="127">
        <v>13343998</v>
      </c>
      <c r="G91" s="129">
        <f>IF(ISBLANK(F91),"-",$D$101/$F$98*F91)</f>
        <v>6545186.8234441243</v>
      </c>
      <c r="I91" s="130"/>
    </row>
    <row r="92" spans="1:12" ht="26.25" customHeight="1">
      <c r="A92" s="119" t="s">
        <v>120</v>
      </c>
      <c r="B92" s="120">
        <v>1</v>
      </c>
      <c r="C92" s="149">
        <v>2</v>
      </c>
      <c r="D92" s="132">
        <v>15330795</v>
      </c>
      <c r="E92" s="133">
        <f>IF(ISBLANK(D92),"-",$D$101/$D$98*D92)</f>
        <v>6771641.5443179961</v>
      </c>
      <c r="F92" s="132">
        <v>13380090</v>
      </c>
      <c r="G92" s="134">
        <f>IF(ISBLANK(F92),"-",$D$101/$F$98*F92)</f>
        <v>6562889.8299067859</v>
      </c>
      <c r="I92" s="266">
        <f>ABS((F96/D96*D95)-F95)/D95</f>
        <v>3.0772189744081864E-2</v>
      </c>
    </row>
    <row r="93" spans="1:12" ht="26.25" customHeight="1">
      <c r="A93" s="119" t="s">
        <v>121</v>
      </c>
      <c r="B93" s="120">
        <v>1</v>
      </c>
      <c r="C93" s="149">
        <v>3</v>
      </c>
      <c r="D93" s="132">
        <v>15345510</v>
      </c>
      <c r="E93" s="133">
        <f>IF(ISBLANK(D93),"-",$D$101/$D$98*D93)</f>
        <v>6778141.188030188</v>
      </c>
      <c r="F93" s="132">
        <v>13385407</v>
      </c>
      <c r="G93" s="134">
        <f>IF(ISBLANK(F93),"-",$D$101/$F$98*F93)</f>
        <v>6565497.8007967882</v>
      </c>
      <c r="I93" s="266"/>
    </row>
    <row r="94" spans="1:12" ht="27" customHeight="1" thickBot="1">
      <c r="A94" s="119" t="s">
        <v>122</v>
      </c>
      <c r="B94" s="120">
        <v>1</v>
      </c>
      <c r="C94" s="206">
        <v>4</v>
      </c>
      <c r="D94" s="136"/>
      <c r="E94" s="137" t="str">
        <f>IF(ISBLANK(D94),"-",$D$101/$D$98*D94)</f>
        <v>-</v>
      </c>
      <c r="F94" s="255"/>
      <c r="G94" s="138" t="str">
        <f>IF(ISBLANK(F94),"-",$D$101/$F$98*F94)</f>
        <v>-</v>
      </c>
      <c r="I94" s="139"/>
    </row>
    <row r="95" spans="1:12" ht="27" customHeight="1" thickBot="1">
      <c r="A95" s="119" t="s">
        <v>123</v>
      </c>
      <c r="B95" s="120">
        <v>1</v>
      </c>
      <c r="C95" s="103" t="s">
        <v>60</v>
      </c>
      <c r="D95" s="207">
        <f>AVERAGE(D91:D94)</f>
        <v>15372084.333333334</v>
      </c>
      <c r="E95" s="142">
        <f>AVERAGE(E91:E94)</f>
        <v>6789879.122012903</v>
      </c>
      <c r="F95" s="208">
        <f>AVERAGE(F91:F94)</f>
        <v>13369831.666666666</v>
      </c>
      <c r="G95" s="209">
        <f>AVERAGE(G91:G94)</f>
        <v>6557858.1513825655</v>
      </c>
    </row>
    <row r="96" spans="1:12" ht="26.25" customHeight="1">
      <c r="A96" s="119" t="s">
        <v>124</v>
      </c>
      <c r="B96" s="105">
        <v>1</v>
      </c>
      <c r="C96" s="210" t="s">
        <v>92</v>
      </c>
      <c r="D96" s="211">
        <f>D43</f>
        <v>26.94</v>
      </c>
      <c r="E96" s="93"/>
      <c r="F96" s="146">
        <f>F43</f>
        <v>24.26</v>
      </c>
    </row>
    <row r="97" spans="1:10" ht="26.25" customHeight="1">
      <c r="A97" s="119" t="s">
        <v>125</v>
      </c>
      <c r="B97" s="105">
        <v>1</v>
      </c>
      <c r="C97" s="212" t="s">
        <v>93</v>
      </c>
      <c r="D97" s="213">
        <f>D96*$B$87</f>
        <v>26.94</v>
      </c>
      <c r="E97" s="149"/>
      <c r="F97" s="148">
        <f>F96*$B$87</f>
        <v>24.26</v>
      </c>
    </row>
    <row r="98" spans="1:10" ht="19.5" customHeight="1" thickBot="1">
      <c r="A98" s="119" t="s">
        <v>63</v>
      </c>
      <c r="B98" s="149">
        <f>(B97/B96)*(B95/B94)*(B93/B92)*(B91/B90)*B89</f>
        <v>666.66666666666674</v>
      </c>
      <c r="C98" s="212" t="s">
        <v>94</v>
      </c>
      <c r="D98" s="214">
        <f>D97*$B$83/100</f>
        <v>26.832240000000002</v>
      </c>
      <c r="E98" s="151"/>
      <c r="F98" s="150">
        <f>F97*$B$83/100</f>
        <v>24.162959999999998</v>
      </c>
    </row>
    <row r="99" spans="1:10" ht="19.5" customHeight="1" thickBot="1">
      <c r="A99" s="267" t="s">
        <v>65</v>
      </c>
      <c r="B99" s="268"/>
      <c r="C99" s="212" t="s">
        <v>95</v>
      </c>
      <c r="D99" s="215">
        <f>D98/$B$98</f>
        <v>4.0248359999999997E-2</v>
      </c>
      <c r="E99" s="151"/>
      <c r="F99" s="154">
        <f>F98/$B$98</f>
        <v>3.6244439999999996E-2</v>
      </c>
      <c r="H99" s="144"/>
    </row>
    <row r="100" spans="1:10" ht="19.5" customHeight="1" thickBot="1">
      <c r="A100" s="269"/>
      <c r="B100" s="270"/>
      <c r="C100" s="212" t="s">
        <v>67</v>
      </c>
      <c r="D100" s="216">
        <f>$B$56/$B$116</f>
        <v>1.7777777777777778E-2</v>
      </c>
      <c r="F100" s="159"/>
      <c r="G100" s="217"/>
      <c r="H100" s="144"/>
    </row>
    <row r="101" spans="1:10" ht="18.75">
      <c r="C101" s="212" t="s">
        <v>68</v>
      </c>
      <c r="D101" s="213">
        <f>D100*$B$98</f>
        <v>11.851851851851853</v>
      </c>
      <c r="F101" s="159"/>
      <c r="H101" s="144"/>
    </row>
    <row r="102" spans="1:10" ht="19.5" customHeight="1" thickBot="1">
      <c r="C102" s="218" t="s">
        <v>69</v>
      </c>
      <c r="D102" s="219">
        <f>D101/B34</f>
        <v>11.851851851851853</v>
      </c>
      <c r="F102" s="163"/>
      <c r="H102" s="144"/>
      <c r="J102" s="220"/>
    </row>
    <row r="103" spans="1:10" ht="18.75">
      <c r="C103" s="221" t="s">
        <v>96</v>
      </c>
      <c r="D103" s="222">
        <f>AVERAGE(E91:E94,G91:G94)</f>
        <v>6673868.6366977347</v>
      </c>
      <c r="F103" s="163"/>
      <c r="G103" s="217"/>
      <c r="H103" s="144"/>
      <c r="J103" s="223"/>
    </row>
    <row r="104" spans="1:10" ht="18.75">
      <c r="C104" s="196" t="s">
        <v>71</v>
      </c>
      <c r="D104" s="224">
        <f>STDEV(E91:E94,G91:G94)/D103</f>
        <v>1.9231157607910016E-2</v>
      </c>
      <c r="F104" s="163"/>
      <c r="H104" s="144"/>
      <c r="J104" s="223"/>
    </row>
    <row r="105" spans="1:10" ht="19.5" customHeight="1" thickBot="1">
      <c r="C105" s="198" t="s">
        <v>19</v>
      </c>
      <c r="D105" s="225">
        <f>COUNT(E91:E94,G91:G94)</f>
        <v>6</v>
      </c>
      <c r="F105" s="163"/>
      <c r="H105" s="144"/>
      <c r="J105" s="223"/>
    </row>
    <row r="106" spans="1:10" ht="19.5" customHeight="1" thickBot="1">
      <c r="A106" s="167"/>
      <c r="B106" s="167"/>
      <c r="C106" s="167"/>
      <c r="D106" s="167"/>
      <c r="E106" s="167"/>
    </row>
    <row r="107" spans="1:10" ht="26.25" customHeight="1">
      <c r="A107" s="117" t="s">
        <v>97</v>
      </c>
      <c r="B107" s="118">
        <v>900</v>
      </c>
      <c r="C107" s="201" t="s">
        <v>98</v>
      </c>
      <c r="D107" s="226" t="s">
        <v>57</v>
      </c>
      <c r="E107" s="227" t="s">
        <v>99</v>
      </c>
      <c r="F107" s="228" t="s">
        <v>100</v>
      </c>
    </row>
    <row r="108" spans="1:10" ht="26.25" customHeight="1">
      <c r="A108" s="119" t="s">
        <v>134</v>
      </c>
      <c r="B108" s="120">
        <v>5</v>
      </c>
      <c r="C108" s="229">
        <v>1</v>
      </c>
      <c r="D108" s="230">
        <v>6646638</v>
      </c>
      <c r="E108" s="231">
        <f t="shared" ref="E108:E113" si="1">IF(ISBLANK(D108),"-",D108/$D$103*$D$100*$B$116)</f>
        <v>159.3471699686026</v>
      </c>
      <c r="F108" s="232">
        <f t="shared" ref="F108:F113" si="2">IF(ISBLANK(D108), "-", E108/$B$56)</f>
        <v>0.99591981230376625</v>
      </c>
    </row>
    <row r="109" spans="1:10" ht="26.25" customHeight="1">
      <c r="A109" s="119" t="s">
        <v>127</v>
      </c>
      <c r="B109" s="120">
        <v>50</v>
      </c>
      <c r="C109" s="229">
        <v>2</v>
      </c>
      <c r="D109" s="230">
        <v>6779350</v>
      </c>
      <c r="E109" s="233">
        <f t="shared" si="1"/>
        <v>162.52882084546292</v>
      </c>
      <c r="F109" s="234">
        <f t="shared" si="2"/>
        <v>1.0158051302841433</v>
      </c>
    </row>
    <row r="110" spans="1:10" ht="26.25" customHeight="1">
      <c r="A110" s="119" t="s">
        <v>128</v>
      </c>
      <c r="B110" s="120">
        <v>1</v>
      </c>
      <c r="C110" s="229">
        <v>3</v>
      </c>
      <c r="D110" s="230">
        <v>6627568</v>
      </c>
      <c r="E110" s="233">
        <f t="shared" si="1"/>
        <v>158.88998386469544</v>
      </c>
      <c r="F110" s="234">
        <f t="shared" si="2"/>
        <v>0.99306239915434646</v>
      </c>
    </row>
    <row r="111" spans="1:10" ht="26.25" customHeight="1">
      <c r="A111" s="119" t="s">
        <v>129</v>
      </c>
      <c r="B111" s="120">
        <v>1</v>
      </c>
      <c r="C111" s="229">
        <v>4</v>
      </c>
      <c r="D111" s="230">
        <v>6554071</v>
      </c>
      <c r="E111" s="233">
        <f t="shared" si="1"/>
        <v>157.12795937183418</v>
      </c>
      <c r="F111" s="234">
        <f t="shared" si="2"/>
        <v>0.98204974607396367</v>
      </c>
    </row>
    <row r="112" spans="1:10" ht="26.25" customHeight="1">
      <c r="A112" s="119" t="s">
        <v>130</v>
      </c>
      <c r="B112" s="120">
        <v>1</v>
      </c>
      <c r="C112" s="229">
        <v>5</v>
      </c>
      <c r="D112" s="230">
        <v>6695692</v>
      </c>
      <c r="E112" s="233">
        <f t="shared" si="1"/>
        <v>160.52319551349308</v>
      </c>
      <c r="F112" s="234">
        <f t="shared" si="2"/>
        <v>1.0032699719593317</v>
      </c>
    </row>
    <row r="113" spans="1:10" ht="26.25" customHeight="1">
      <c r="A113" s="119" t="s">
        <v>131</v>
      </c>
      <c r="B113" s="120">
        <v>1</v>
      </c>
      <c r="C113" s="235">
        <v>6</v>
      </c>
      <c r="D113" s="236">
        <v>6210931</v>
      </c>
      <c r="E113" s="237">
        <f t="shared" si="1"/>
        <v>148.90148639361175</v>
      </c>
      <c r="F113" s="238">
        <f t="shared" si="2"/>
        <v>0.93063428996007347</v>
      </c>
    </row>
    <row r="114" spans="1:10" ht="26.25" customHeight="1">
      <c r="A114" s="119" t="s">
        <v>132</v>
      </c>
      <c r="B114" s="120">
        <v>1</v>
      </c>
      <c r="C114" s="229"/>
      <c r="D114" s="149"/>
      <c r="E114" s="93"/>
      <c r="F114" s="239"/>
    </row>
    <row r="115" spans="1:10" ht="26.25" customHeight="1">
      <c r="A115" s="119" t="s">
        <v>133</v>
      </c>
      <c r="B115" s="120">
        <v>1</v>
      </c>
      <c r="C115" s="229"/>
      <c r="D115" s="240" t="s">
        <v>60</v>
      </c>
      <c r="E115" s="241">
        <f>AVERAGE(E108:E113)</f>
        <v>157.88643599295</v>
      </c>
      <c r="F115" s="242">
        <f>AVERAGE(F108:F113)</f>
        <v>0.98679022495593749</v>
      </c>
    </row>
    <row r="116" spans="1:10" ht="27" customHeight="1" thickBot="1">
      <c r="A116" s="119" t="s">
        <v>82</v>
      </c>
      <c r="B116" s="131">
        <f>(B115/B114)*(B113/B112)*(B111/B110)*(B109/B108)*B107</f>
        <v>9000</v>
      </c>
      <c r="C116" s="243"/>
      <c r="D116" s="103" t="s">
        <v>71</v>
      </c>
      <c r="E116" s="244">
        <f>STDEV(E108:E113)/E115</f>
        <v>3.0103203169183527E-2</v>
      </c>
      <c r="F116" s="244">
        <f>STDEV(F108:F113)/F115</f>
        <v>3.0103203169183509E-2</v>
      </c>
      <c r="I116" s="93"/>
    </row>
    <row r="117" spans="1:10" ht="27" customHeight="1" thickBot="1">
      <c r="A117" s="267" t="s">
        <v>65</v>
      </c>
      <c r="B117" s="271"/>
      <c r="C117" s="245"/>
      <c r="D117" s="246" t="s">
        <v>19</v>
      </c>
      <c r="E117" s="247">
        <f>COUNT(E108:E113)</f>
        <v>6</v>
      </c>
      <c r="F117" s="247">
        <f>COUNT(F108:F113)</f>
        <v>6</v>
      </c>
      <c r="I117" s="93"/>
      <c r="J117" s="223"/>
    </row>
    <row r="118" spans="1:10" ht="19.5" customHeight="1" thickBot="1">
      <c r="A118" s="269"/>
      <c r="B118" s="272"/>
      <c r="C118" s="93"/>
      <c r="D118" s="93"/>
      <c r="E118" s="93"/>
      <c r="F118" s="149"/>
      <c r="G118" s="93"/>
      <c r="H118" s="93"/>
      <c r="I118" s="93"/>
    </row>
    <row r="119" spans="1:10" ht="18.75">
      <c r="A119" s="248"/>
      <c r="B119" s="115"/>
      <c r="C119" s="93"/>
      <c r="D119" s="93"/>
      <c r="E119" s="93"/>
      <c r="F119" s="149"/>
      <c r="G119" s="93"/>
      <c r="H119" s="93"/>
      <c r="I119" s="93"/>
    </row>
    <row r="120" spans="1:10" ht="26.25" customHeight="1">
      <c r="A120" s="102" t="s">
        <v>85</v>
      </c>
      <c r="B120" s="103" t="s">
        <v>101</v>
      </c>
      <c r="C120" s="273" t="str">
        <f>B20</f>
        <v>each tablets contains sulphamethoxazole 800mg Trimethoprim 160mg.</v>
      </c>
      <c r="D120" s="273"/>
      <c r="E120" s="93" t="s">
        <v>102</v>
      </c>
      <c r="F120" s="93"/>
      <c r="G120" s="200">
        <f>F115</f>
        <v>0.98679022495593749</v>
      </c>
      <c r="H120" s="93"/>
      <c r="I120" s="93"/>
    </row>
    <row r="121" spans="1:10" ht="19.5" customHeight="1" thickBot="1">
      <c r="A121" s="249"/>
      <c r="B121" s="249"/>
      <c r="C121" s="250"/>
      <c r="D121" s="250"/>
      <c r="E121" s="250"/>
      <c r="F121" s="250"/>
      <c r="G121" s="250"/>
      <c r="H121" s="250"/>
    </row>
    <row r="122" spans="1:10" ht="18.75">
      <c r="B122" s="274" t="s">
        <v>21</v>
      </c>
      <c r="C122" s="274"/>
      <c r="E122" s="203" t="s">
        <v>22</v>
      </c>
      <c r="F122" s="251"/>
      <c r="G122" s="274" t="s">
        <v>23</v>
      </c>
      <c r="H122" s="274"/>
    </row>
    <row r="123" spans="1:10" ht="69.95" customHeight="1">
      <c r="A123" s="102" t="s">
        <v>24</v>
      </c>
      <c r="B123" s="252"/>
      <c r="C123" s="252"/>
      <c r="E123" s="252"/>
      <c r="F123" s="93"/>
      <c r="G123" s="252"/>
      <c r="H123" s="252"/>
    </row>
    <row r="124" spans="1:10" ht="69.95" customHeight="1">
      <c r="A124" s="102" t="s">
        <v>25</v>
      </c>
      <c r="B124" s="253"/>
      <c r="C124" s="253"/>
      <c r="E124" s="253"/>
      <c r="F124" s="93"/>
      <c r="G124" s="254"/>
      <c r="H124" s="254"/>
    </row>
    <row r="125" spans="1:10" ht="18.75">
      <c r="A125" s="149"/>
      <c r="B125" s="149"/>
      <c r="C125" s="149"/>
      <c r="D125" s="149"/>
      <c r="E125" s="149"/>
      <c r="F125" s="151"/>
      <c r="G125" s="149"/>
      <c r="H125" s="149"/>
      <c r="I125" s="93"/>
    </row>
    <row r="126" spans="1:10" ht="18.75">
      <c r="A126" s="149"/>
      <c r="B126" s="149"/>
      <c r="C126" s="149"/>
      <c r="D126" s="149"/>
      <c r="E126" s="149"/>
      <c r="F126" s="151"/>
      <c r="G126" s="149"/>
      <c r="H126" s="149"/>
      <c r="I126" s="93"/>
    </row>
    <row r="127" spans="1:10" ht="18.75">
      <c r="A127" s="149"/>
      <c r="B127" s="149"/>
      <c r="C127" s="149"/>
      <c r="D127" s="149"/>
      <c r="E127" s="149"/>
      <c r="F127" s="151"/>
      <c r="G127" s="149"/>
      <c r="H127" s="149"/>
      <c r="I127" s="93"/>
    </row>
    <row r="128" spans="1:10" ht="18.75">
      <c r="A128" s="149"/>
      <c r="B128" s="149"/>
      <c r="C128" s="149"/>
      <c r="D128" s="149"/>
      <c r="E128" s="149"/>
      <c r="F128" s="151"/>
      <c r="G128" s="149"/>
      <c r="H128" s="149"/>
      <c r="I128" s="93"/>
    </row>
    <row r="129" spans="1:9" ht="18.75">
      <c r="A129" s="149"/>
      <c r="B129" s="149"/>
      <c r="C129" s="149"/>
      <c r="D129" s="149"/>
      <c r="E129" s="149"/>
      <c r="F129" s="151"/>
      <c r="G129" s="149"/>
      <c r="H129" s="149"/>
      <c r="I129" s="93"/>
    </row>
    <row r="130" spans="1:9" ht="18.75">
      <c r="A130" s="149"/>
      <c r="B130" s="149"/>
      <c r="C130" s="149"/>
      <c r="D130" s="149"/>
      <c r="E130" s="149"/>
      <c r="F130" s="151"/>
      <c r="G130" s="149"/>
      <c r="H130" s="149"/>
      <c r="I130" s="93"/>
    </row>
    <row r="131" spans="1:9" ht="18.75">
      <c r="A131" s="149"/>
      <c r="B131" s="149"/>
      <c r="C131" s="149"/>
      <c r="D131" s="149"/>
      <c r="E131" s="149"/>
      <c r="F131" s="151"/>
      <c r="G131" s="149"/>
      <c r="H131" s="149"/>
      <c r="I131" s="93"/>
    </row>
    <row r="132" spans="1:9" ht="18.75">
      <c r="A132" s="149"/>
      <c r="B132" s="149"/>
      <c r="C132" s="149"/>
      <c r="D132" s="149"/>
      <c r="E132" s="149"/>
      <c r="F132" s="151"/>
      <c r="G132" s="149"/>
      <c r="H132" s="149"/>
      <c r="I132" s="93"/>
    </row>
    <row r="133" spans="1:9" ht="18.75">
      <c r="A133" s="149"/>
      <c r="B133" s="149"/>
      <c r="C133" s="149"/>
      <c r="D133" s="149"/>
      <c r="E133" s="149"/>
      <c r="F133" s="151"/>
      <c r="G133" s="149"/>
      <c r="H133" s="149"/>
      <c r="I133" s="93"/>
    </row>
    <row r="250" spans="1:1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A70:B71"/>
    <mergeCell ref="C76:D76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9" operator="greaterThan">
      <formula>0.02</formula>
    </cfRule>
  </conditionalFormatting>
  <conditionalFormatting sqref="D51">
    <cfRule type="cellIs" dxfId="7" priority="8" operator="greaterThan">
      <formula>0.02</formula>
    </cfRule>
  </conditionalFormatting>
  <conditionalFormatting sqref="G73">
    <cfRule type="cellIs" dxfId="6" priority="7" operator="greaterThan">
      <formula>0.02</formula>
    </cfRule>
  </conditionalFormatting>
  <conditionalFormatting sqref="H73">
    <cfRule type="cellIs" dxfId="5" priority="6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4" operator="lessThanOrEqual">
      <formula>0.02</formula>
    </cfRule>
  </conditionalFormatting>
  <conditionalFormatting sqref="I39">
    <cfRule type="cellIs" dxfId="2" priority="3" operator="greaterThan">
      <formula>0.02</formula>
    </cfRule>
  </conditionalFormatting>
  <conditionalFormatting sqref="I92">
    <cfRule type="cellIs" dxfId="1" priority="2" operator="lessThanOrEqual">
      <formula>0.02</formula>
    </cfRule>
  </conditionalFormatting>
  <conditionalFormatting sqref="I92">
    <cfRule type="cellIs" dxfId="0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Uniformity</vt:lpstr>
      <vt:lpstr>SST </vt:lpstr>
      <vt:lpstr>Sulfamethoxazole</vt:lpstr>
      <vt:lpstr>Trimethoprim</vt:lpstr>
      <vt:lpstr>'SST 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2016-04-15T04:12:53Z</cp:lastPrinted>
  <dcterms:created xsi:type="dcterms:W3CDTF">2005-07-05T10:19:27Z</dcterms:created>
  <dcterms:modified xsi:type="dcterms:W3CDTF">2016-04-15T04:17:06Z</dcterms:modified>
</cp:coreProperties>
</file>