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6"/>
  </bookViews>
  <sheets>
    <sheet name="SST 3TC" sheetId="10" r:id="rId1"/>
    <sheet name="SST TDF" sheetId="12" r:id="rId2"/>
    <sheet name="SST EFV" sheetId="11" r:id="rId3"/>
    <sheet name="Uniformity " sheetId="14" r:id="rId4"/>
    <sheet name="3TC" sheetId="5" r:id="rId5"/>
    <sheet name="TDF" sheetId="4" r:id="rId6"/>
    <sheet name="EFV" sheetId="3" r:id="rId7"/>
  </sheets>
  <definedNames>
    <definedName name="_xlnm.Print_Area" localSheetId="4">'3TC'!$A$1:$H$125</definedName>
    <definedName name="_xlnm.Print_Area" localSheetId="6">EFV!$A$1:$I$125</definedName>
    <definedName name="_xlnm.Print_Area" localSheetId="0">'SST 3TC'!$A$1:$E$62</definedName>
    <definedName name="_xlnm.Print_Area" localSheetId="2">'SST EFV'!$A$1:$E$63</definedName>
    <definedName name="_xlnm.Print_Area" localSheetId="1">'SST TDF'!$A$1:$E$62</definedName>
    <definedName name="_xlnm.Print_Area" localSheetId="5">TDF!$A$1:$H$125</definedName>
  </definedNames>
  <calcPr calcId="145621"/>
</workbook>
</file>

<file path=xl/calcChain.xml><?xml version="1.0" encoding="utf-8"?>
<calcChain xmlns="http://schemas.openxmlformats.org/spreadsheetml/2006/main">
  <c r="F103" i="3" l="1"/>
  <c r="F96" i="3" l="1"/>
  <c r="D96" i="3"/>
  <c r="F96" i="4"/>
  <c r="B21" i="12"/>
  <c r="B40" i="10" l="1"/>
  <c r="B39" i="10"/>
  <c r="B39" i="11"/>
  <c r="B39" i="12"/>
  <c r="C120" i="4" l="1"/>
  <c r="C76" i="3"/>
  <c r="C76" i="5"/>
  <c r="C120" i="5"/>
  <c r="C76" i="4"/>
  <c r="C120" i="3"/>
  <c r="A102" i="3"/>
  <c r="B98" i="3"/>
  <c r="D100" i="3"/>
  <c r="D49" i="5"/>
  <c r="D48" i="5"/>
  <c r="D42" i="5"/>
  <c r="B45" i="5"/>
  <c r="B51" i="12"/>
  <c r="B51" i="11"/>
  <c r="B42" i="11"/>
  <c r="B30" i="11"/>
  <c r="B31" i="11" s="1"/>
  <c r="B21" i="11"/>
  <c r="B51" i="10"/>
  <c r="B52" i="10" s="1"/>
  <c r="B42" i="10"/>
  <c r="B30" i="10"/>
  <c r="B21" i="10"/>
  <c r="C44" i="14"/>
  <c r="D47" i="14" s="1"/>
  <c r="C43" i="14"/>
  <c r="B57" i="5" l="1"/>
  <c r="D27" i="14"/>
  <c r="C48" i="14"/>
  <c r="D21" i="14"/>
  <c r="D39" i="14"/>
  <c r="D26" i="14"/>
  <c r="D25" i="14"/>
  <c r="D40" i="14"/>
  <c r="D32" i="14"/>
  <c r="D31" i="14"/>
  <c r="D23" i="14"/>
  <c r="D38" i="14"/>
  <c r="D30" i="14"/>
  <c r="D22" i="14"/>
  <c r="D37" i="14"/>
  <c r="D29" i="14"/>
  <c r="B57" i="3"/>
  <c r="D36" i="14"/>
  <c r="D28" i="14"/>
  <c r="B57" i="4"/>
  <c r="D35" i="14"/>
  <c r="D34" i="14"/>
  <c r="D33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F45" i="4" s="1"/>
  <c r="F46" i="4" s="1"/>
  <c r="B30" i="4"/>
  <c r="B116" i="3"/>
  <c r="F95" i="3"/>
  <c r="D95" i="3"/>
  <c r="B87" i="3"/>
  <c r="D97" i="3" s="1"/>
  <c r="D98" i="3" s="1"/>
  <c r="D99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45" i="5" s="1"/>
  <c r="D98" i="5"/>
  <c r="D99" i="5" s="1"/>
  <c r="I39" i="4"/>
  <c r="D44" i="4"/>
  <c r="D45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41" i="4" l="1"/>
  <c r="D46" i="4"/>
  <c r="D46" i="5"/>
  <c r="E38" i="5"/>
  <c r="E91" i="5"/>
  <c r="E92" i="5"/>
  <c r="E91" i="4"/>
  <c r="E41" i="5"/>
  <c r="F46" i="5"/>
  <c r="E39" i="5"/>
  <c r="G41" i="5"/>
  <c r="G38" i="5"/>
  <c r="G39" i="5"/>
  <c r="E40" i="5"/>
  <c r="E93" i="5"/>
  <c r="G38" i="4"/>
  <c r="G42" i="4" s="1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53" i="5" s="1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G95" i="4" l="1"/>
  <c r="D103" i="3"/>
  <c r="E95" i="4"/>
  <c r="E42" i="4"/>
  <c r="D50" i="4"/>
  <c r="H55" i="4" s="1"/>
  <c r="G95" i="5"/>
  <c r="E95" i="5"/>
  <c r="D50" i="5"/>
  <c r="D51" i="5" s="1"/>
  <c r="D105" i="4"/>
  <c r="D103" i="5"/>
  <c r="E42" i="5"/>
  <c r="D52" i="5"/>
  <c r="G42" i="5"/>
  <c r="D103" i="4"/>
  <c r="E95" i="3"/>
  <c r="D105" i="3"/>
  <c r="D52" i="3"/>
  <c r="D50" i="3"/>
  <c r="E42" i="3"/>
  <c r="G42" i="3"/>
  <c r="G95" i="3"/>
  <c r="G71" i="3"/>
  <c r="H71" i="3" s="1"/>
  <c r="D52" i="4"/>
  <c r="D105" i="5"/>
  <c r="E111" i="3" l="1"/>
  <c r="F111" i="3" s="1"/>
  <c r="G66" i="3"/>
  <c r="H66" i="3" s="1"/>
  <c r="G57" i="3"/>
  <c r="E113" i="4"/>
  <c r="F113" i="4" s="1"/>
  <c r="D104" i="4"/>
  <c r="E109" i="5"/>
  <c r="F109" i="5" s="1"/>
  <c r="E113" i="5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F115" i="5" l="1"/>
  <c r="G72" i="5"/>
  <c r="G73" i="5" s="1"/>
  <c r="E115" i="5"/>
  <c r="E116" i="5" s="1"/>
  <c r="E115" i="4"/>
  <c r="E116" i="4" s="1"/>
  <c r="E117" i="5"/>
  <c r="H60" i="5"/>
  <c r="H72" i="5" s="1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G72" i="4"/>
  <c r="F117" i="5"/>
  <c r="H74" i="3"/>
  <c r="H72" i="3"/>
  <c r="H72" i="4" l="1"/>
  <c r="H73" i="4" s="1"/>
  <c r="H73" i="5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<sst xmlns="http://schemas.openxmlformats.org/spreadsheetml/2006/main" count="642" uniqueCount="139">
  <si>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</si>
  <si>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</si>
  <si>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</si>
  <si>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</si>
  <si>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</si>
  <si>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</si>
  <si>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</si>
  <si>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</si>
  <si>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</si>
  <si>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</si>
  <si>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</si>
  <si>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</si>
  <si>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</si>
  <si>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</si>
  <si>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</si>
  <si>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</si>
  <si>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</si>
  <si>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</si>
  <si>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</si>
  <si>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</si>
  <si>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</si>
  <si>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</si>
  <si>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</si>
  <si>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</si>
  <si>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</si>
  <si>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</si>
  <si>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</si>
  <si>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</si>
  <si>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</si>
  <si>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</si>
  <si>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</si>
  <si>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</si>
  <si>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</si>
  <si>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</si>
  <si>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</si>
  <si>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</si>
  <si>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</si>
  <si>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</si>
  <si>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</si>
  <si>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</si>
  <si>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</si>
  <si>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</si>
  <si>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</si>
  <si>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</si>
  <si>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</si>
  <si>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</si>
  <si>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</si>
  <si>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</si>
  <si>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</si>
  <si>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</si>
  <si>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</si>
  <si>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</si>
  <si>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</si>
  <si>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</si>
  <si>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</si>
  <si>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</si>
  <si>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</si>
  <si>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</si>
  <si>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</si>
  <si>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</si>
  <si>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</si>
  <si>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</si>
  <si>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</si>
  <si>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</si>
  <si>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</si>
  <si>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</si>
  <si>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</si>
  <si>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</si>
  <si>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</si>
  <si>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</si>
  <si>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</si>
  <si>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</si>
  <si>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</si>
  <si>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</si>
  <si>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</si>
  <si>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</si>
  <si>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</si>
  <si>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</si>
  <si>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</si>
  <si>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</si>
  <si>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</si>
  <si>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</si>
  <si>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</si>
  <si>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</si>
  <si>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</si>
  <si>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</si>
  <si>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</si>
  <si>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</si>
  <si>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</si>
  <si>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</si>
  <si>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</si>
  <si>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</si>
  <si>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</si>
  <si>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</si>
  <si>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</si>
  <si>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</si>
  <si>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</si>
  <si>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</si>
  <si>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</si>
  <si>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</si>
  <si>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</si>
  <si>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</si>
  <si>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</si>
  <si>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</si>
  <si>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</si>
  <si>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</si>
  <si>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</si>
  <si>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</si>
  <si>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</si>
  <si>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</si>
  <si>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</si>
  <si>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</si>
  <si>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</si>
  <si>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</si>
  <si>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</si>
  <si>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</si>
  <si>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</si>
  <si>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</si>
  <si>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</si>
  <si>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</si>
  <si>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</si>
  <si>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</si>
  <si>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</si>
  <si>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</si>
  <si>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</si>
  <si>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</si>
  <si>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</si>
  <si>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</si>
  <si>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</si>
  <si>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</si>
  <si>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</si>
  <si>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</si>
  <si>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TENOFOVIR DISOPROXIL FUMARATE</t>
  </si>
  <si>
    <t>Tenofovir Disoproxil Fumarate</t>
  </si>
  <si>
    <t>Lamivudine</t>
  </si>
  <si>
    <t>Efavirenz</t>
  </si>
  <si>
    <t>PETER KIPKORIR</t>
  </si>
  <si>
    <t>Average Tablet Weight (mg):</t>
  </si>
  <si>
    <t>NDQB201604851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</si>
</sst>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0" fontId="29" fillId="3" borderId="57" xfId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65" fontId="5" fillId="2" borderId="71" xfId="0" applyNumberFormat="1" applyFont="1" applyFill="1" applyBorder="1" applyAlignment="1">
      <alignment horizont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8" xfId="1" applyNumberFormat="1" applyFont="1" applyFill="1" applyBorder="1" applyAlignment="1" applyProtection="1">
      <alignment horizontal="center"/>
      <protection locked="0"/>
    </xf>
    <xf numFmtId="172" fontId="29" fillId="3" borderId="55" xfId="1" applyNumberFormat="1" applyFont="1" applyFill="1" applyBorder="1" applyAlignment="1" applyProtection="1">
      <alignment horizontal="center"/>
      <protection locked="0"/>
    </xf>
    <xf numFmtId="173" fontId="29" fillId="3" borderId="57" xfId="1" applyNumberFormat="1" applyFont="1" applyFill="1" applyBorder="1" applyAlignment="1" applyProtection="1">
      <alignment horizontal="center"/>
      <protection locked="0"/>
    </xf>
    <xf numFmtId="173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0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0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0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0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0" fontId="25" fillId="2" borderId="0" xfId="1" applyFont="1" applyFill="1" applyBorder="1"/>
    <xf numFmtId="0" fontId="26" fillId="2" borderId="3" xfId="1" applyFont="1" applyFill="1" applyBorder="1"/>
    <xf numFmtId="0" fontId="25" fillId="2" borderId="91" xfId="1" applyFont="1" applyFill="1" applyBorder="1"/>
    <xf numFmtId="0" fontId="25" fillId="2" borderId="0" xfId="1" applyFont="1" applyFill="1" applyBorder="1" applyAlignment="1">
      <alignment horizontal="center"/>
    </xf>
    <xf numFmtId="0" fontId="24" fillId="2" borderId="0" xfId="1" applyFill="1" applyBorder="1"/>
    <xf numFmtId="14" fontId="25" fillId="2" borderId="0" xfId="1" applyNumberFormat="1" applyFont="1" applyFill="1" applyBorder="1"/>
    <xf numFmtId="14" fontId="25" fillId="2" borderId="3" xfId="1" applyNumberFormat="1" applyFont="1" applyFill="1" applyBorder="1" applyAlignment="1">
      <alignment horizontal="center"/>
    </xf>
    <xf numFmtId="0" fontId="26" fillId="2" borderId="91" xfId="1" applyFont="1" applyFill="1" applyBorder="1"/>
    <xf numFmtId="0" fontId="25" fillId="2" borderId="92" xfId="1" applyFont="1" applyFill="1" applyBorder="1"/>
    <xf numFmtId="0" fontId="26" fillId="2" borderId="0" xfId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64" fontId="34" fillId="2" borderId="0" xfId="1" applyNumberFormat="1" applyFont="1" applyFill="1" applyAlignment="1">
      <alignment horizontal="center"/>
    </xf>
    <xf numFmtId="2" fontId="2" fillId="2" borderId="66" xfId="1" applyNumberFormat="1" applyFont="1" applyFill="1" applyBorder="1" applyAlignment="1">
      <alignment horizontal="center"/>
    </xf>
    <xf numFmtId="170" fontId="1" fillId="2" borderId="67" xfId="1" applyNumberFormat="1" applyFont="1" applyFill="1" applyBorder="1" applyAlignment="1">
      <alignment horizontal="center"/>
    </xf>
    <xf numFmtId="170" fontId="10" fillId="2" borderId="0" xfId="0" applyNumberFormat="1" applyFont="1" applyFill="1" applyAlignment="1" applyProtection="1">
      <alignment horizontal="center"/>
      <protection locked="0"/>
    </xf>
    <xf numFmtId="0" fontId="9" fillId="2" borderId="94" xfId="0" applyFont="1" applyFill="1" applyBorder="1" applyAlignment="1">
      <alignment horizontal="right"/>
    </xf>
    <xf numFmtId="0" fontId="9" fillId="2" borderId="93" xfId="0" applyFont="1" applyFill="1" applyBorder="1" applyAlignment="1">
      <alignment horizontal="right"/>
    </xf>
    <xf numFmtId="170" fontId="9" fillId="2" borderId="95" xfId="0" applyNumberFormat="1" applyFont="1" applyFill="1" applyBorder="1" applyAlignment="1">
      <alignment horizontal="right"/>
    </xf>
    <xf numFmtId="0" fontId="9" fillId="2" borderId="96" xfId="0" applyFont="1" applyFill="1" applyBorder="1" applyAlignment="1">
      <alignment horizontal="right"/>
    </xf>
    <xf numFmtId="172" fontId="28" fillId="6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169" fontId="1" fillId="2" borderId="70" xfId="1" applyNumberFormat="1" applyFont="1" applyFill="1" applyBorder="1" applyAlignment="1">
      <alignment horizontal="center" vertical="center"/>
    </xf>
    <xf numFmtId="169" fontId="1" fillId="2" borderId="72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7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10" fontId="13" fillId="2" borderId="9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37" zoomScale="90" zoomScaleNormal="100" zoomScaleSheetLayoutView="90" workbookViewId="0">
      <selection activeCell="C60" sqref="C60"/>
    </sheetView>
  </sheetViews>
  <sheetFormatPr defaultColWidth="9.109375" defaultRowHeight="13.8" x14ac:dyDescent="0.3"/>
  <cols>
    <col min="1" max="1" width="27.5546875" style="542" customWidth="1"/>
    <col min="2" max="2" width="20.44140625" style="542" customWidth="1"/>
    <col min="3" max="3" width="31.88671875" style="542" customWidth="1"/>
    <col min="4" max="4" width="28.109375" style="542" customWidth="1"/>
    <col min="5" max="5" width="27.88671875" style="542" customWidth="1"/>
    <col min="6" max="6" width="23.109375" style="542" customWidth="1"/>
    <col min="7" max="7" width="28.44140625" style="542" customWidth="1"/>
    <col min="8" max="8" width="21.5546875" style="542" customWidth="1"/>
    <col min="9" max="9" width="9.109375" style="542" customWidth="1"/>
    <col min="10" max="16384" width="9.109375" style="541"/>
  </cols>
  <sheetData>
    <row r="14" spans="1:6" s="542" customFormat="1" ht="15" customHeight="1" x14ac:dyDescent="0.3">
      <c r="A14" s="578"/>
      <c r="C14" s="577"/>
      <c r="F14" s="577"/>
    </row>
    <row r="15" spans="1:6" s="542" customFormat="1" ht="18.75" customHeight="1" x14ac:dyDescent="0.35">
      <c r="A15" s="703" t="s">
        <v>120</v>
      </c>
      <c r="B15" s="703"/>
      <c r="C15" s="703"/>
      <c r="D15" s="703"/>
      <c r="E15" s="703"/>
    </row>
    <row r="16" spans="1:6" s="542" customFormat="1" ht="16.5" customHeight="1" x14ac:dyDescent="0.3">
      <c r="A16" s="574" t="s">
        <v>0</v>
      </c>
      <c r="B16" s="642" t="s">
        <v>119</v>
      </c>
    </row>
    <row r="17" spans="1:5" s="542" customFormat="1" ht="16.5" customHeight="1" x14ac:dyDescent="0.3">
      <c r="A17" s="572" t="s">
        <v>118</v>
      </c>
      <c r="B17" s="679" t="s">
        <v>138</v>
      </c>
      <c r="D17" s="576"/>
      <c r="E17" s="552"/>
    </row>
    <row r="18" spans="1:5" s="542" customFormat="1" ht="16.5" customHeight="1" x14ac:dyDescent="0.3">
      <c r="A18" s="551" t="s">
        <v>1</v>
      </c>
      <c r="B18" s="679" t="s">
        <v>134</v>
      </c>
      <c r="C18" s="552"/>
      <c r="D18" s="552"/>
      <c r="E18" s="552"/>
    </row>
    <row r="19" spans="1:5" s="542" customFormat="1" ht="16.5" customHeight="1" x14ac:dyDescent="0.3">
      <c r="A19" s="551" t="s">
        <v>2</v>
      </c>
      <c r="B19" s="692">
        <v>101.74</v>
      </c>
      <c r="C19" s="552"/>
      <c r="D19" s="552"/>
      <c r="E19" s="552"/>
    </row>
    <row r="20" spans="1:5" s="542" customFormat="1" ht="16.5" customHeight="1" x14ac:dyDescent="0.3">
      <c r="A20" s="572" t="s">
        <v>116</v>
      </c>
      <c r="B20" s="691">
        <v>16.93</v>
      </c>
      <c r="C20" s="552"/>
      <c r="D20" s="552"/>
      <c r="E20" s="552"/>
    </row>
    <row r="21" spans="1:5" s="542" customFormat="1" ht="16.5" customHeight="1" x14ac:dyDescent="0.3">
      <c r="A21" s="702" t="s">
        <v>115</v>
      </c>
      <c r="B21" s="693">
        <f>B20/25*5/50</f>
        <v>6.7720000000000002E-2</v>
      </c>
      <c r="C21" s="552"/>
      <c r="D21" s="552"/>
      <c r="E21" s="552"/>
    </row>
    <row r="22" spans="1:5" s="542" customFormat="1" ht="15.75" customHeight="1" x14ac:dyDescent="0.3">
      <c r="A22" s="552"/>
      <c r="B22" s="575"/>
      <c r="C22" s="552"/>
      <c r="D22" s="552"/>
      <c r="E22" s="552"/>
    </row>
    <row r="23" spans="1:5" s="542" customFormat="1" ht="16.5" customHeight="1" x14ac:dyDescent="0.3">
      <c r="A23" s="569" t="s">
        <v>114</v>
      </c>
      <c r="B23" s="570" t="s">
        <v>113</v>
      </c>
      <c r="C23" s="569" t="s">
        <v>112</v>
      </c>
      <c r="D23" s="569" t="s">
        <v>111</v>
      </c>
      <c r="E23" s="569" t="s">
        <v>110</v>
      </c>
    </row>
    <row r="24" spans="1:5" s="542" customFormat="1" ht="16.5" customHeight="1" x14ac:dyDescent="0.3">
      <c r="A24" s="567">
        <v>1</v>
      </c>
      <c r="B24" s="568">
        <v>19478301</v>
      </c>
      <c r="C24" s="568">
        <v>10048.700000000001</v>
      </c>
      <c r="D24" s="643">
        <v>1.1000000000000001</v>
      </c>
      <c r="E24" s="644">
        <v>5.4</v>
      </c>
    </row>
    <row r="25" spans="1:5" s="542" customFormat="1" ht="16.5" customHeight="1" x14ac:dyDescent="0.3">
      <c r="A25" s="567">
        <v>2</v>
      </c>
      <c r="B25" s="568">
        <v>19532279</v>
      </c>
      <c r="C25" s="568">
        <v>10007.9</v>
      </c>
      <c r="D25" s="643">
        <v>1.1000000000000001</v>
      </c>
      <c r="E25" s="643">
        <v>5.4</v>
      </c>
    </row>
    <row r="26" spans="1:5" s="542" customFormat="1" ht="16.5" customHeight="1" x14ac:dyDescent="0.3">
      <c r="A26" s="567">
        <v>3</v>
      </c>
      <c r="B26" s="568">
        <v>19482165</v>
      </c>
      <c r="C26" s="568">
        <v>10083.299999999999</v>
      </c>
      <c r="D26" s="643">
        <v>1.1000000000000001</v>
      </c>
      <c r="E26" s="643">
        <v>5.4</v>
      </c>
    </row>
    <row r="27" spans="1:5" s="542" customFormat="1" ht="16.5" customHeight="1" x14ac:dyDescent="0.3">
      <c r="A27" s="567">
        <v>4</v>
      </c>
      <c r="B27" s="568">
        <v>19473805</v>
      </c>
      <c r="C27" s="568">
        <v>10051.4</v>
      </c>
      <c r="D27" s="643">
        <v>1.1000000000000001</v>
      </c>
      <c r="E27" s="643">
        <v>5.4</v>
      </c>
    </row>
    <row r="28" spans="1:5" s="542" customFormat="1" ht="16.5" customHeight="1" x14ac:dyDescent="0.3">
      <c r="A28" s="567">
        <v>5</v>
      </c>
      <c r="B28" s="568">
        <v>19391104</v>
      </c>
      <c r="C28" s="568">
        <v>10032.4</v>
      </c>
      <c r="D28" s="643">
        <v>1.1000000000000001</v>
      </c>
      <c r="E28" s="643">
        <v>5.4</v>
      </c>
    </row>
    <row r="29" spans="1:5" s="542" customFormat="1" ht="16.5" customHeight="1" x14ac:dyDescent="0.3">
      <c r="A29" s="567">
        <v>6</v>
      </c>
      <c r="B29" s="566">
        <v>19520116</v>
      </c>
      <c r="C29" s="566">
        <v>10026.299999999999</v>
      </c>
      <c r="D29" s="645">
        <v>1.1000000000000001</v>
      </c>
      <c r="E29" s="645">
        <v>5.4</v>
      </c>
    </row>
    <row r="30" spans="1:5" s="542" customFormat="1" ht="16.5" customHeight="1" x14ac:dyDescent="0.3">
      <c r="A30" s="565" t="s">
        <v>109</v>
      </c>
      <c r="B30" s="564">
        <f>AVERAGE(B24:B29)</f>
        <v>19479628.333333332</v>
      </c>
      <c r="C30" s="563">
        <f>AVERAGE(C24:C29)</f>
        <v>10041.666666666666</v>
      </c>
      <c r="D30" s="562">
        <f>AVERAGE(D24:D29)</f>
        <v>1.0999999999999999</v>
      </c>
      <c r="E30" s="562">
        <f>AVERAGE(E24:E29)</f>
        <v>5.3999999999999995</v>
      </c>
    </row>
    <row r="31" spans="1:5" s="542" customFormat="1" ht="16.5" customHeight="1" x14ac:dyDescent="0.3">
      <c r="A31" s="561" t="s">
        <v>108</v>
      </c>
      <c r="B31" s="560">
        <f>(STDEV(B24:B29)/B30)</f>
        <v>2.5451327215738847E-3</v>
      </c>
      <c r="C31" s="559"/>
      <c r="D31" s="559"/>
      <c r="E31" s="558"/>
    </row>
    <row r="32" spans="1:5" s="542" customFormat="1" ht="16.5" customHeight="1" x14ac:dyDescent="0.3">
      <c r="A32" s="557" t="s">
        <v>3</v>
      </c>
      <c r="B32" s="556">
        <f>COUNT(B24:B29)</f>
        <v>6</v>
      </c>
      <c r="C32" s="555"/>
      <c r="D32" s="554"/>
      <c r="E32" s="553"/>
    </row>
    <row r="33" spans="1:5" s="542" customFormat="1" ht="15.75" customHeight="1" x14ac:dyDescent="0.3">
      <c r="A33" s="552"/>
      <c r="B33" s="552"/>
      <c r="C33" s="552"/>
      <c r="D33" s="552"/>
      <c r="E33" s="552"/>
    </row>
    <row r="34" spans="1:5" s="542" customFormat="1" ht="16.5" customHeight="1" x14ac:dyDescent="0.3">
      <c r="A34" s="551" t="s">
        <v>107</v>
      </c>
      <c r="B34" s="550" t="s">
        <v>106</v>
      </c>
      <c r="C34" s="549"/>
      <c r="D34" s="549"/>
      <c r="E34" s="549"/>
    </row>
    <row r="35" spans="1:5" s="542" customFormat="1" ht="16.5" customHeight="1" x14ac:dyDescent="0.3">
      <c r="A35" s="551"/>
      <c r="B35" s="550" t="s">
        <v>105</v>
      </c>
      <c r="C35" s="549"/>
      <c r="D35" s="549"/>
      <c r="E35" s="549"/>
    </row>
    <row r="36" spans="1:5" s="542" customFormat="1" ht="16.5" customHeight="1" x14ac:dyDescent="0.3">
      <c r="A36" s="551"/>
      <c r="B36" s="550" t="s">
        <v>104</v>
      </c>
      <c r="C36" s="549"/>
      <c r="D36" s="549"/>
      <c r="E36" s="549"/>
    </row>
    <row r="37" spans="1:5" s="542" customFormat="1" ht="15.75" customHeight="1" x14ac:dyDescent="0.3">
      <c r="A37" s="552"/>
      <c r="B37" s="552"/>
      <c r="C37" s="552"/>
      <c r="D37" s="552"/>
      <c r="E37" s="552"/>
    </row>
    <row r="38" spans="1:5" s="542" customFormat="1" ht="16.5" customHeight="1" x14ac:dyDescent="0.3">
      <c r="A38" s="574" t="s">
        <v>0</v>
      </c>
      <c r="B38" s="642" t="s">
        <v>117</v>
      </c>
    </row>
    <row r="39" spans="1:5" s="542" customFormat="1" ht="16.5" customHeight="1" x14ac:dyDescent="0.3">
      <c r="A39" s="551" t="s">
        <v>1</v>
      </c>
      <c r="B39" s="573" t="str">
        <f>B18</f>
        <v>Lamivudine</v>
      </c>
      <c r="C39" s="552"/>
      <c r="D39" s="552"/>
      <c r="E39" s="552"/>
    </row>
    <row r="40" spans="1:5" s="542" customFormat="1" ht="16.5" customHeight="1" x14ac:dyDescent="0.3">
      <c r="A40" s="551" t="s">
        <v>2</v>
      </c>
      <c r="B40" s="573">
        <f>B19</f>
        <v>101.74</v>
      </c>
      <c r="C40" s="552"/>
      <c r="D40" s="552"/>
      <c r="E40" s="552"/>
    </row>
    <row r="41" spans="1:5" s="542" customFormat="1" ht="16.5" customHeight="1" x14ac:dyDescent="0.3">
      <c r="A41" s="572" t="s">
        <v>116</v>
      </c>
      <c r="B41" s="573">
        <v>19.39</v>
      </c>
      <c r="C41" s="552"/>
      <c r="D41" s="552"/>
      <c r="E41" s="552"/>
    </row>
    <row r="42" spans="1:5" s="542" customFormat="1" ht="16.5" customHeight="1" x14ac:dyDescent="0.3">
      <c r="A42" s="572" t="s">
        <v>115</v>
      </c>
      <c r="B42" s="571">
        <f>B41/25*10/20</f>
        <v>0.38780000000000003</v>
      </c>
      <c r="C42" s="552"/>
      <c r="D42" s="552"/>
      <c r="E42" s="552"/>
    </row>
    <row r="43" spans="1:5" s="542" customFormat="1" ht="15.75" customHeight="1" x14ac:dyDescent="0.3">
      <c r="A43" s="552"/>
      <c r="B43" s="552"/>
      <c r="C43" s="552"/>
      <c r="D43" s="552"/>
      <c r="E43" s="552"/>
    </row>
    <row r="44" spans="1:5" s="542" customFormat="1" ht="16.5" customHeight="1" x14ac:dyDescent="0.3">
      <c r="A44" s="569" t="s">
        <v>114</v>
      </c>
      <c r="B44" s="570" t="s">
        <v>113</v>
      </c>
      <c r="C44" s="569" t="s">
        <v>112</v>
      </c>
      <c r="D44" s="569" t="s">
        <v>111</v>
      </c>
      <c r="E44" s="569" t="s">
        <v>110</v>
      </c>
    </row>
    <row r="45" spans="1:5" s="542" customFormat="1" ht="16.5" customHeight="1" x14ac:dyDescent="0.3">
      <c r="A45" s="567">
        <v>1</v>
      </c>
      <c r="B45" s="568">
        <v>109088594</v>
      </c>
      <c r="C45" s="568">
        <v>14142.5</v>
      </c>
      <c r="D45" s="643">
        <v>1.1000000000000001</v>
      </c>
      <c r="E45" s="644">
        <v>5.9</v>
      </c>
    </row>
    <row r="46" spans="1:5" s="542" customFormat="1" ht="16.5" customHeight="1" x14ac:dyDescent="0.3">
      <c r="A46" s="567">
        <v>2</v>
      </c>
      <c r="B46" s="568">
        <v>107920038</v>
      </c>
      <c r="C46" s="568">
        <v>14129.1</v>
      </c>
      <c r="D46" s="643">
        <v>1.1000000000000001</v>
      </c>
      <c r="E46" s="643">
        <v>5.9</v>
      </c>
    </row>
    <row r="47" spans="1:5" s="542" customFormat="1" ht="16.5" customHeight="1" x14ac:dyDescent="0.3">
      <c r="A47" s="567">
        <v>3</v>
      </c>
      <c r="B47" s="568">
        <v>107586448</v>
      </c>
      <c r="C47" s="568">
        <v>14310.2</v>
      </c>
      <c r="D47" s="643">
        <v>1.1000000000000001</v>
      </c>
      <c r="E47" s="643">
        <v>5.9</v>
      </c>
    </row>
    <row r="48" spans="1:5" s="542" customFormat="1" ht="16.5" customHeight="1" x14ac:dyDescent="0.3">
      <c r="A48" s="567">
        <v>4</v>
      </c>
      <c r="B48" s="568">
        <v>107664730</v>
      </c>
      <c r="C48" s="568">
        <v>14116.6</v>
      </c>
      <c r="D48" s="643">
        <v>1.1000000000000001</v>
      </c>
      <c r="E48" s="643">
        <v>5.9</v>
      </c>
    </row>
    <row r="49" spans="1:7" s="542" customFormat="1" ht="16.5" customHeight="1" x14ac:dyDescent="0.3">
      <c r="A49" s="567">
        <v>5</v>
      </c>
      <c r="B49" s="568">
        <v>109199466</v>
      </c>
      <c r="C49" s="568">
        <v>14170.7</v>
      </c>
      <c r="D49" s="643">
        <v>1.1000000000000001</v>
      </c>
      <c r="E49" s="643">
        <v>5.9</v>
      </c>
    </row>
    <row r="50" spans="1:7" s="542" customFormat="1" ht="16.5" customHeight="1" x14ac:dyDescent="0.3">
      <c r="A50" s="567">
        <v>6</v>
      </c>
      <c r="B50" s="566">
        <v>109923327</v>
      </c>
      <c r="C50" s="645">
        <v>14328</v>
      </c>
      <c r="D50" s="645">
        <v>1.1000000000000001</v>
      </c>
      <c r="E50" s="645">
        <v>5.9</v>
      </c>
    </row>
    <row r="51" spans="1:7" s="542" customFormat="1" ht="16.5" customHeight="1" x14ac:dyDescent="0.3">
      <c r="A51" s="565" t="s">
        <v>109</v>
      </c>
      <c r="B51" s="564">
        <f>AVERAGE(B45:B50)</f>
        <v>108563767.16666667</v>
      </c>
      <c r="C51" s="701">
        <f>AVERAGE(C45:C50)</f>
        <v>14199.516666666668</v>
      </c>
      <c r="D51" s="562">
        <f>AVERAGE(D45:D50)</f>
        <v>1.0999999999999999</v>
      </c>
      <c r="E51" s="562">
        <f>AVERAGE(E45:E50)</f>
        <v>5.8999999999999995</v>
      </c>
    </row>
    <row r="52" spans="1:7" s="542" customFormat="1" ht="16.5" customHeight="1" x14ac:dyDescent="0.3">
      <c r="A52" s="561" t="s">
        <v>108</v>
      </c>
      <c r="B52" s="560">
        <f>(STDEV(B45:B50)/B51)</f>
        <v>8.9360440621053562E-3</v>
      </c>
      <c r="C52" s="559"/>
      <c r="D52" s="559"/>
      <c r="E52" s="558"/>
    </row>
    <row r="53" spans="1:7" s="542" customFormat="1" ht="16.5" customHeight="1" x14ac:dyDescent="0.3">
      <c r="A53" s="557" t="s">
        <v>3</v>
      </c>
      <c r="B53" s="556">
        <f>COUNT(B45:B50)</f>
        <v>6</v>
      </c>
      <c r="C53" s="555"/>
      <c r="D53" s="554"/>
      <c r="E53" s="553"/>
    </row>
    <row r="54" spans="1:7" s="542" customFormat="1" ht="15.75" customHeight="1" x14ac:dyDescent="0.3">
      <c r="A54" s="552"/>
      <c r="B54" s="552"/>
      <c r="C54" s="552"/>
      <c r="D54" s="552"/>
      <c r="E54" s="552"/>
    </row>
    <row r="55" spans="1:7" s="542" customFormat="1" ht="16.5" customHeight="1" x14ac:dyDescent="0.3">
      <c r="A55" s="551" t="s">
        <v>107</v>
      </c>
      <c r="B55" s="550" t="s">
        <v>106</v>
      </c>
      <c r="C55" s="549"/>
      <c r="D55" s="549"/>
      <c r="E55" s="549"/>
    </row>
    <row r="56" spans="1:7" s="542" customFormat="1" ht="16.5" customHeight="1" x14ac:dyDescent="0.3">
      <c r="A56" s="551"/>
      <c r="B56" s="550" t="s">
        <v>105</v>
      </c>
      <c r="C56" s="549"/>
      <c r="D56" s="549"/>
      <c r="E56" s="549"/>
    </row>
    <row r="57" spans="1:7" s="542" customFormat="1" ht="16.5" customHeight="1" x14ac:dyDescent="0.3">
      <c r="A57" s="551"/>
      <c r="B57" s="550" t="s">
        <v>104</v>
      </c>
      <c r="C57" s="549"/>
      <c r="D57" s="549"/>
      <c r="E57" s="549"/>
    </row>
    <row r="58" spans="1:7" s="542" customFormat="1" ht="14.25" customHeight="1" thickBot="1" x14ac:dyDescent="0.35">
      <c r="A58" s="548"/>
      <c r="B58" s="547"/>
      <c r="D58" s="546"/>
      <c r="F58" s="685"/>
      <c r="G58" s="541"/>
    </row>
    <row r="59" spans="1:7" s="542" customFormat="1" ht="15" customHeight="1" x14ac:dyDescent="0.3">
      <c r="B59" s="704" t="s">
        <v>4</v>
      </c>
      <c r="C59" s="704"/>
      <c r="D59" s="545" t="s">
        <v>5</v>
      </c>
      <c r="E59" s="545" t="s">
        <v>6</v>
      </c>
      <c r="F59" s="684"/>
    </row>
    <row r="60" spans="1:7" s="542" customFormat="1" ht="15" customHeight="1" x14ac:dyDescent="0.3">
      <c r="A60" s="543" t="s">
        <v>7</v>
      </c>
      <c r="B60" s="681"/>
      <c r="C60" s="681"/>
      <c r="D60" s="681"/>
      <c r="E60" s="681"/>
    </row>
    <row r="61" spans="1:7" s="542" customFormat="1" ht="15" customHeight="1" x14ac:dyDescent="0.3">
      <c r="A61" s="543"/>
      <c r="B61" s="689"/>
      <c r="C61" s="689"/>
      <c r="D61" s="689"/>
      <c r="E61" s="689"/>
    </row>
    <row r="62" spans="1:7" s="542" customFormat="1" ht="15" customHeight="1" x14ac:dyDescent="0.3">
      <c r="A62" s="543" t="s">
        <v>8</v>
      </c>
      <c r="B62" s="688"/>
      <c r="C62" s="688"/>
      <c r="D62" s="688"/>
      <c r="E62" s="68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40" zoomScale="80" zoomScaleNormal="100" zoomScaleSheetLayoutView="80" workbookViewId="0">
      <selection activeCell="B18" sqref="B18"/>
    </sheetView>
  </sheetViews>
  <sheetFormatPr defaultColWidth="9.109375" defaultRowHeight="13.8" x14ac:dyDescent="0.3"/>
  <cols>
    <col min="1" max="1" width="27.5546875" style="542" customWidth="1"/>
    <col min="2" max="2" width="20.44140625" style="542" customWidth="1"/>
    <col min="3" max="3" width="31.88671875" style="542" customWidth="1"/>
    <col min="4" max="4" width="27.33203125" style="542" customWidth="1"/>
    <col min="5" max="5" width="25.6640625" style="542" customWidth="1"/>
    <col min="6" max="6" width="23.109375" style="542" customWidth="1"/>
    <col min="7" max="7" width="28.44140625" style="542" customWidth="1"/>
    <col min="8" max="8" width="21.5546875" style="542" customWidth="1"/>
    <col min="9" max="9" width="9.109375" style="542" customWidth="1"/>
    <col min="10" max="16384" width="9.109375" style="541"/>
  </cols>
  <sheetData>
    <row r="14" spans="1:6" ht="15" customHeight="1" x14ac:dyDescent="0.3">
      <c r="A14" s="578"/>
      <c r="C14" s="577"/>
      <c r="F14" s="577"/>
    </row>
    <row r="15" spans="1:6" ht="18.75" customHeight="1" x14ac:dyDescent="0.35">
      <c r="A15" s="703" t="s">
        <v>120</v>
      </c>
      <c r="B15" s="703"/>
      <c r="C15" s="703"/>
      <c r="D15" s="703"/>
      <c r="E15" s="703"/>
    </row>
    <row r="16" spans="1:6" ht="16.5" customHeight="1" x14ac:dyDescent="0.3">
      <c r="A16" s="574" t="s">
        <v>0</v>
      </c>
      <c r="B16" s="642" t="s">
        <v>119</v>
      </c>
    </row>
    <row r="17" spans="1:5" ht="16.5" customHeight="1" x14ac:dyDescent="0.3">
      <c r="A17" s="572" t="s">
        <v>118</v>
      </c>
      <c r="B17" s="679" t="s">
        <v>138</v>
      </c>
      <c r="D17" s="576"/>
      <c r="E17" s="552"/>
    </row>
    <row r="18" spans="1:5" ht="16.5" customHeight="1" x14ac:dyDescent="0.3">
      <c r="A18" s="551" t="s">
        <v>1</v>
      </c>
      <c r="B18" s="680" t="s">
        <v>133</v>
      </c>
      <c r="C18" s="552"/>
      <c r="D18" s="552"/>
      <c r="E18" s="552"/>
    </row>
    <row r="19" spans="1:5" ht="16.5" customHeight="1" x14ac:dyDescent="0.3">
      <c r="A19" s="551" t="s">
        <v>2</v>
      </c>
      <c r="B19" s="573">
        <v>98.8</v>
      </c>
      <c r="C19" s="552"/>
      <c r="D19" s="552"/>
      <c r="E19" s="552"/>
    </row>
    <row r="20" spans="1:5" ht="16.5" customHeight="1" x14ac:dyDescent="0.3">
      <c r="A20" s="572" t="s">
        <v>116</v>
      </c>
      <c r="B20" s="573">
        <v>15.66</v>
      </c>
      <c r="C20" s="552"/>
      <c r="D20" s="552"/>
      <c r="E20" s="552"/>
    </row>
    <row r="21" spans="1:5" ht="16.5" customHeight="1" x14ac:dyDescent="0.3">
      <c r="A21" s="572" t="s">
        <v>115</v>
      </c>
      <c r="B21" s="571">
        <f>B20/25*5/50</f>
        <v>6.2639999999999987E-2</v>
      </c>
      <c r="C21" s="552"/>
      <c r="D21" s="552"/>
      <c r="E21" s="552"/>
    </row>
    <row r="22" spans="1:5" ht="15.75" customHeight="1" x14ac:dyDescent="0.3">
      <c r="A22" s="552"/>
      <c r="B22" s="575"/>
      <c r="C22" s="552"/>
      <c r="D22" s="552"/>
      <c r="E22" s="552"/>
    </row>
    <row r="23" spans="1:5" ht="16.5" customHeight="1" x14ac:dyDescent="0.3">
      <c r="A23" s="569" t="s">
        <v>114</v>
      </c>
      <c r="B23" s="570" t="s">
        <v>113</v>
      </c>
      <c r="C23" s="569" t="s">
        <v>112</v>
      </c>
      <c r="D23" s="569" t="s">
        <v>111</v>
      </c>
      <c r="E23" s="569" t="s">
        <v>110</v>
      </c>
    </row>
    <row r="24" spans="1:5" ht="16.5" customHeight="1" x14ac:dyDescent="0.3">
      <c r="A24" s="567">
        <v>1</v>
      </c>
      <c r="B24" s="568">
        <v>12989431</v>
      </c>
      <c r="C24" s="568">
        <v>168103.9</v>
      </c>
      <c r="D24" s="643">
        <v>1.1000000000000001</v>
      </c>
      <c r="E24" s="644">
        <v>15.1</v>
      </c>
    </row>
    <row r="25" spans="1:5" ht="16.5" customHeight="1" x14ac:dyDescent="0.3">
      <c r="A25" s="567">
        <v>2</v>
      </c>
      <c r="B25" s="568">
        <v>12933420</v>
      </c>
      <c r="C25" s="643">
        <v>168953</v>
      </c>
      <c r="D25" s="643">
        <v>1.1000000000000001</v>
      </c>
      <c r="E25" s="643">
        <v>15.1</v>
      </c>
    </row>
    <row r="26" spans="1:5" ht="16.5" customHeight="1" x14ac:dyDescent="0.3">
      <c r="A26" s="567">
        <v>3</v>
      </c>
      <c r="B26" s="568">
        <v>12946994</v>
      </c>
      <c r="C26" s="568">
        <v>168196.9</v>
      </c>
      <c r="D26" s="643">
        <v>1.1000000000000001</v>
      </c>
      <c r="E26" s="643">
        <v>15.1</v>
      </c>
    </row>
    <row r="27" spans="1:5" ht="16.5" customHeight="1" x14ac:dyDescent="0.3">
      <c r="A27" s="567">
        <v>4</v>
      </c>
      <c r="B27" s="568">
        <v>12948055</v>
      </c>
      <c r="C27" s="643">
        <v>168815</v>
      </c>
      <c r="D27" s="643">
        <v>1.1000000000000001</v>
      </c>
      <c r="E27" s="643">
        <v>15.1</v>
      </c>
    </row>
    <row r="28" spans="1:5" ht="16.5" customHeight="1" x14ac:dyDescent="0.3">
      <c r="A28" s="567">
        <v>5</v>
      </c>
      <c r="B28" s="568">
        <v>12965307</v>
      </c>
      <c r="C28" s="568">
        <v>168063.1</v>
      </c>
      <c r="D28" s="643">
        <v>1.1000000000000001</v>
      </c>
      <c r="E28" s="643">
        <v>15.1</v>
      </c>
    </row>
    <row r="29" spans="1:5" ht="16.5" customHeight="1" x14ac:dyDescent="0.3">
      <c r="A29" s="567">
        <v>6</v>
      </c>
      <c r="B29" s="566">
        <v>13034559</v>
      </c>
      <c r="C29" s="566">
        <v>167938.7</v>
      </c>
      <c r="D29" s="645">
        <v>1.1000000000000001</v>
      </c>
      <c r="E29" s="645">
        <v>15.1</v>
      </c>
    </row>
    <row r="30" spans="1:5" ht="16.5" customHeight="1" x14ac:dyDescent="0.3">
      <c r="A30" s="565" t="s">
        <v>109</v>
      </c>
      <c r="B30" s="564">
        <f>AVERAGE(B24:B29)</f>
        <v>12969627.666666666</v>
      </c>
      <c r="C30" s="563">
        <f>AVERAGE(C24:C29)</f>
        <v>168345.1</v>
      </c>
      <c r="D30" s="562">
        <f>AVERAGE(D24:D29)</f>
        <v>1.0999999999999999</v>
      </c>
      <c r="E30" s="562">
        <f>AVERAGE(E24:E29)</f>
        <v>15.1</v>
      </c>
    </row>
    <row r="31" spans="1:5" ht="16.5" customHeight="1" x14ac:dyDescent="0.3">
      <c r="A31" s="561" t="s">
        <v>108</v>
      </c>
      <c r="B31" s="560">
        <f>(STDEV(B24:B29)/B30)</f>
        <v>2.8674884254837611E-3</v>
      </c>
      <c r="C31" s="559"/>
      <c r="D31" s="559"/>
      <c r="E31" s="558"/>
    </row>
    <row r="32" spans="1:5" s="542" customFormat="1" ht="16.5" customHeight="1" x14ac:dyDescent="0.3">
      <c r="A32" s="557" t="s">
        <v>3</v>
      </c>
      <c r="B32" s="556">
        <f>COUNT(B24:B29)</f>
        <v>6</v>
      </c>
      <c r="C32" s="555"/>
      <c r="D32" s="554"/>
      <c r="E32" s="553"/>
    </row>
    <row r="33" spans="1:5" s="542" customFormat="1" ht="15.75" customHeight="1" x14ac:dyDescent="0.3">
      <c r="A33" s="552"/>
      <c r="B33" s="552"/>
      <c r="C33" s="552"/>
      <c r="D33" s="552"/>
      <c r="E33" s="552"/>
    </row>
    <row r="34" spans="1:5" s="542" customFormat="1" ht="16.5" customHeight="1" x14ac:dyDescent="0.3">
      <c r="A34" s="551" t="s">
        <v>107</v>
      </c>
      <c r="B34" s="550" t="s">
        <v>106</v>
      </c>
      <c r="C34" s="549"/>
      <c r="D34" s="549"/>
      <c r="E34" s="549"/>
    </row>
    <row r="35" spans="1:5" ht="16.5" customHeight="1" x14ac:dyDescent="0.3">
      <c r="A35" s="551"/>
      <c r="B35" s="550" t="s">
        <v>105</v>
      </c>
      <c r="C35" s="549"/>
      <c r="D35" s="549"/>
      <c r="E35" s="549"/>
    </row>
    <row r="36" spans="1:5" ht="16.5" customHeight="1" x14ac:dyDescent="0.3">
      <c r="A36" s="551"/>
      <c r="B36" s="550" t="s">
        <v>104</v>
      </c>
      <c r="C36" s="549"/>
      <c r="D36" s="549"/>
      <c r="E36" s="549"/>
    </row>
    <row r="37" spans="1:5" ht="15.75" customHeight="1" x14ac:dyDescent="0.3">
      <c r="A37" s="552"/>
      <c r="B37" s="552"/>
      <c r="C37" s="552"/>
      <c r="D37" s="552"/>
      <c r="E37" s="552"/>
    </row>
    <row r="38" spans="1:5" ht="16.5" customHeight="1" x14ac:dyDescent="0.3">
      <c r="A38" s="574" t="s">
        <v>0</v>
      </c>
      <c r="B38" s="642" t="s">
        <v>117</v>
      </c>
    </row>
    <row r="39" spans="1:5" ht="16.5" customHeight="1" x14ac:dyDescent="0.3">
      <c r="A39" s="551" t="s">
        <v>1</v>
      </c>
      <c r="B39" s="680" t="str">
        <f>B18</f>
        <v>Tenofovir Disoproxil Fumarate</v>
      </c>
      <c r="C39" s="552"/>
      <c r="D39" s="552"/>
      <c r="E39" s="552"/>
    </row>
    <row r="40" spans="1:5" ht="16.5" customHeight="1" x14ac:dyDescent="0.3">
      <c r="A40" s="551" t="s">
        <v>2</v>
      </c>
      <c r="B40" s="573">
        <v>98.8</v>
      </c>
      <c r="C40" s="552"/>
      <c r="D40" s="552"/>
      <c r="E40" s="552"/>
    </row>
    <row r="41" spans="1:5" ht="16.5" customHeight="1" x14ac:dyDescent="0.3">
      <c r="A41" s="572" t="s">
        <v>116</v>
      </c>
      <c r="B41" s="573">
        <v>16.48</v>
      </c>
      <c r="C41" s="552"/>
      <c r="D41" s="552"/>
      <c r="E41" s="552"/>
    </row>
    <row r="42" spans="1:5" ht="16.5" customHeight="1" x14ac:dyDescent="0.3">
      <c r="A42" s="572" t="s">
        <v>115</v>
      </c>
      <c r="B42" s="571">
        <f>B41/25*10/20</f>
        <v>0.3296</v>
      </c>
      <c r="C42" s="552"/>
      <c r="D42" s="552"/>
      <c r="E42" s="552"/>
    </row>
    <row r="43" spans="1:5" ht="15.75" customHeight="1" x14ac:dyDescent="0.3">
      <c r="A43" s="552"/>
      <c r="B43" s="552"/>
      <c r="C43" s="552"/>
      <c r="D43" s="552"/>
      <c r="E43" s="552"/>
    </row>
    <row r="44" spans="1:5" ht="16.5" customHeight="1" x14ac:dyDescent="0.3">
      <c r="A44" s="569" t="s">
        <v>114</v>
      </c>
      <c r="B44" s="570" t="s">
        <v>113</v>
      </c>
      <c r="C44" s="569" t="s">
        <v>112</v>
      </c>
      <c r="D44" s="569" t="s">
        <v>111</v>
      </c>
      <c r="E44" s="569" t="s">
        <v>110</v>
      </c>
    </row>
    <row r="45" spans="1:5" ht="16.5" customHeight="1" x14ac:dyDescent="0.3">
      <c r="A45" s="567">
        <v>1</v>
      </c>
      <c r="B45" s="568">
        <v>66515987</v>
      </c>
      <c r="C45" s="643">
        <v>153930.29999999999</v>
      </c>
      <c r="D45" s="643">
        <v>1.1000000000000001</v>
      </c>
      <c r="E45" s="644">
        <v>15.4</v>
      </c>
    </row>
    <row r="46" spans="1:5" ht="16.5" customHeight="1" x14ac:dyDescent="0.3">
      <c r="A46" s="567">
        <v>2</v>
      </c>
      <c r="B46" s="568">
        <v>65112297</v>
      </c>
      <c r="C46" s="568">
        <v>153318.5</v>
      </c>
      <c r="D46" s="643">
        <v>1.2</v>
      </c>
      <c r="E46" s="643">
        <v>15.4</v>
      </c>
    </row>
    <row r="47" spans="1:5" ht="16.5" customHeight="1" x14ac:dyDescent="0.3">
      <c r="A47" s="567">
        <v>3</v>
      </c>
      <c r="B47" s="568">
        <v>64940332</v>
      </c>
      <c r="C47" s="568">
        <v>154152.9</v>
      </c>
      <c r="D47" s="643">
        <v>1.1000000000000001</v>
      </c>
      <c r="E47" s="643">
        <v>15.4</v>
      </c>
    </row>
    <row r="48" spans="1:5" ht="16.5" customHeight="1" x14ac:dyDescent="0.3">
      <c r="A48" s="567">
        <v>4</v>
      </c>
      <c r="B48" s="568">
        <v>65119629</v>
      </c>
      <c r="C48" s="568">
        <v>153605.4</v>
      </c>
      <c r="D48" s="643">
        <v>1.2</v>
      </c>
      <c r="E48" s="643">
        <v>15.4</v>
      </c>
    </row>
    <row r="49" spans="1:7" ht="16.5" customHeight="1" x14ac:dyDescent="0.3">
      <c r="A49" s="567">
        <v>5</v>
      </c>
      <c r="B49" s="568">
        <v>65904855</v>
      </c>
      <c r="C49" s="568">
        <v>153495.9</v>
      </c>
      <c r="D49" s="643">
        <v>1.2</v>
      </c>
      <c r="E49" s="643">
        <v>15.4</v>
      </c>
    </row>
    <row r="50" spans="1:7" ht="16.5" customHeight="1" x14ac:dyDescent="0.3">
      <c r="A50" s="567">
        <v>6</v>
      </c>
      <c r="B50" s="566">
        <v>66364008</v>
      </c>
      <c r="C50" s="566">
        <v>155618.9</v>
      </c>
      <c r="D50" s="645">
        <v>1.1000000000000001</v>
      </c>
      <c r="E50" s="645">
        <v>15.4</v>
      </c>
    </row>
    <row r="51" spans="1:7" ht="16.5" customHeight="1" x14ac:dyDescent="0.3">
      <c r="A51" s="565" t="s">
        <v>109</v>
      </c>
      <c r="B51" s="564">
        <f>AVERAGE(B45:B50)</f>
        <v>65659518</v>
      </c>
      <c r="C51" s="563">
        <f>AVERAGE(C45:C50)</f>
        <v>154020.31666666668</v>
      </c>
      <c r="D51" s="562">
        <f>AVERAGE(D45:D50)</f>
        <v>1.1500000000000001</v>
      </c>
      <c r="E51" s="562">
        <f>AVERAGE(E45:E50)</f>
        <v>15.4</v>
      </c>
    </row>
    <row r="52" spans="1:7" ht="16.5" customHeight="1" x14ac:dyDescent="0.3">
      <c r="A52" s="561" t="s">
        <v>108</v>
      </c>
      <c r="B52" s="560">
        <f>(STDEV(B45:B50)/B51)</f>
        <v>1.0547743376227088E-2</v>
      </c>
      <c r="C52" s="559"/>
      <c r="D52" s="559"/>
      <c r="E52" s="558"/>
    </row>
    <row r="53" spans="1:7" s="542" customFormat="1" ht="16.5" customHeight="1" x14ac:dyDescent="0.3">
      <c r="A53" s="557" t="s">
        <v>3</v>
      </c>
      <c r="B53" s="556">
        <f>COUNT(B45:B50)</f>
        <v>6</v>
      </c>
      <c r="C53" s="555"/>
      <c r="D53" s="554"/>
      <c r="E53" s="553"/>
    </row>
    <row r="54" spans="1:7" s="542" customFormat="1" ht="15.75" customHeight="1" x14ac:dyDescent="0.3">
      <c r="A54" s="552"/>
      <c r="B54" s="552"/>
      <c r="C54" s="552"/>
      <c r="D54" s="552"/>
      <c r="E54" s="552"/>
    </row>
    <row r="55" spans="1:7" s="542" customFormat="1" ht="16.5" customHeight="1" x14ac:dyDescent="0.3">
      <c r="A55" s="551" t="s">
        <v>107</v>
      </c>
      <c r="B55" s="550" t="s">
        <v>106</v>
      </c>
      <c r="C55" s="549"/>
      <c r="D55" s="549"/>
      <c r="E55" s="549"/>
    </row>
    <row r="56" spans="1:7" ht="16.5" customHeight="1" x14ac:dyDescent="0.3">
      <c r="A56" s="551"/>
      <c r="B56" s="550" t="s">
        <v>105</v>
      </c>
      <c r="C56" s="549"/>
      <c r="D56" s="549"/>
      <c r="E56" s="549"/>
    </row>
    <row r="57" spans="1:7" ht="16.5" customHeight="1" x14ac:dyDescent="0.3">
      <c r="A57" s="551"/>
      <c r="B57" s="550" t="s">
        <v>104</v>
      </c>
      <c r="C57" s="549"/>
      <c r="D57" s="549"/>
      <c r="E57" s="549"/>
    </row>
    <row r="58" spans="1:7" ht="14.25" customHeight="1" thickBot="1" x14ac:dyDescent="0.35">
      <c r="A58" s="548"/>
      <c r="B58" s="547"/>
      <c r="D58" s="546"/>
      <c r="F58" s="685"/>
      <c r="G58" s="541"/>
    </row>
    <row r="59" spans="1:7" ht="15" customHeight="1" x14ac:dyDescent="0.3">
      <c r="B59" s="704" t="s">
        <v>4</v>
      </c>
      <c r="C59" s="704"/>
      <c r="D59" s="545" t="s">
        <v>5</v>
      </c>
      <c r="E59" s="545" t="s">
        <v>6</v>
      </c>
      <c r="F59" s="684"/>
    </row>
    <row r="60" spans="1:7" ht="15" customHeight="1" x14ac:dyDescent="0.3">
      <c r="A60" s="543" t="s">
        <v>7</v>
      </c>
      <c r="B60" s="683"/>
      <c r="C60" s="683"/>
      <c r="D60" s="683"/>
      <c r="E60" s="683"/>
    </row>
    <row r="61" spans="1:7" ht="15" customHeight="1" x14ac:dyDescent="0.3">
      <c r="A61" s="543"/>
      <c r="B61" s="681"/>
      <c r="C61" s="681"/>
      <c r="D61" s="681"/>
      <c r="E61" s="681"/>
    </row>
    <row r="62" spans="1:7" ht="15" customHeight="1" x14ac:dyDescent="0.3">
      <c r="A62" s="543" t="s">
        <v>8</v>
      </c>
      <c r="B62" s="682"/>
      <c r="C62" s="682"/>
      <c r="D62" s="682"/>
      <c r="E62" s="5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40" zoomScaleNormal="100" zoomScaleSheetLayoutView="100" workbookViewId="0">
      <selection activeCell="B61" sqref="B61:C61"/>
    </sheetView>
  </sheetViews>
  <sheetFormatPr defaultColWidth="9.109375" defaultRowHeight="13.8" x14ac:dyDescent="0.3"/>
  <cols>
    <col min="1" max="1" width="27.5546875" style="542" customWidth="1"/>
    <col min="2" max="2" width="20.44140625" style="542" customWidth="1"/>
    <col min="3" max="3" width="31.88671875" style="542" customWidth="1"/>
    <col min="4" max="4" width="25.88671875" style="542" customWidth="1"/>
    <col min="5" max="5" width="25.6640625" style="542" customWidth="1"/>
    <col min="6" max="6" width="23.109375" style="542" customWidth="1"/>
    <col min="7" max="7" width="28.44140625" style="542" customWidth="1"/>
    <col min="8" max="8" width="21.5546875" style="542" customWidth="1"/>
    <col min="9" max="9" width="9.109375" style="542" customWidth="1"/>
    <col min="10" max="16384" width="9.109375" style="541"/>
  </cols>
  <sheetData>
    <row r="14" spans="1:6" s="542" customFormat="1" ht="15" customHeight="1" x14ac:dyDescent="0.3">
      <c r="A14" s="578"/>
      <c r="C14" s="577"/>
      <c r="F14" s="577"/>
    </row>
    <row r="15" spans="1:6" s="542" customFormat="1" ht="18.75" customHeight="1" x14ac:dyDescent="0.35">
      <c r="A15" s="703" t="s">
        <v>120</v>
      </c>
      <c r="B15" s="703"/>
      <c r="C15" s="703"/>
      <c r="D15" s="703"/>
      <c r="E15" s="703"/>
    </row>
    <row r="16" spans="1:6" s="542" customFormat="1" ht="16.5" customHeight="1" x14ac:dyDescent="0.3">
      <c r="A16" s="574" t="s">
        <v>0</v>
      </c>
      <c r="B16" s="642" t="s">
        <v>119</v>
      </c>
    </row>
    <row r="17" spans="1:5" s="542" customFormat="1" ht="16.5" customHeight="1" x14ac:dyDescent="0.3">
      <c r="A17" s="572" t="s">
        <v>118</v>
      </c>
      <c r="B17" s="679" t="s">
        <v>138</v>
      </c>
      <c r="D17" s="576"/>
      <c r="E17" s="552"/>
    </row>
    <row r="18" spans="1:5" s="542" customFormat="1" ht="16.5" customHeight="1" x14ac:dyDescent="0.3">
      <c r="A18" s="551" t="s">
        <v>1</v>
      </c>
      <c r="B18" s="679" t="s">
        <v>135</v>
      </c>
      <c r="C18" s="552"/>
      <c r="D18" s="552"/>
      <c r="E18" s="552"/>
    </row>
    <row r="19" spans="1:5" s="542" customFormat="1" ht="16.5" customHeight="1" x14ac:dyDescent="0.3">
      <c r="A19" s="551" t="s">
        <v>2</v>
      </c>
      <c r="B19" s="692">
        <v>99.3</v>
      </c>
      <c r="C19" s="552"/>
      <c r="D19" s="552"/>
      <c r="E19" s="552"/>
    </row>
    <row r="20" spans="1:5" s="542" customFormat="1" ht="16.5" customHeight="1" x14ac:dyDescent="0.3">
      <c r="A20" s="572" t="s">
        <v>116</v>
      </c>
      <c r="B20" s="691">
        <v>29.35</v>
      </c>
      <c r="C20" s="552"/>
      <c r="D20" s="552"/>
      <c r="E20" s="552"/>
    </row>
    <row r="21" spans="1:5" s="542" customFormat="1" ht="16.5" customHeight="1" x14ac:dyDescent="0.3">
      <c r="A21" s="572" t="s">
        <v>115</v>
      </c>
      <c r="B21" s="693">
        <f>B20/25*5/50</f>
        <v>0.11740000000000002</v>
      </c>
      <c r="C21" s="552"/>
      <c r="D21" s="552"/>
      <c r="E21" s="552"/>
    </row>
    <row r="22" spans="1:5" s="542" customFormat="1" ht="15.75" customHeight="1" x14ac:dyDescent="0.3">
      <c r="A22" s="552"/>
      <c r="B22" s="575"/>
      <c r="C22" s="552"/>
      <c r="D22" s="552"/>
      <c r="E22" s="552"/>
    </row>
    <row r="23" spans="1:5" s="542" customFormat="1" ht="16.5" customHeight="1" x14ac:dyDescent="0.3">
      <c r="A23" s="569" t="s">
        <v>114</v>
      </c>
      <c r="B23" s="570" t="s">
        <v>113</v>
      </c>
      <c r="C23" s="569" t="s">
        <v>112</v>
      </c>
      <c r="D23" s="569" t="s">
        <v>111</v>
      </c>
      <c r="E23" s="569" t="s">
        <v>110</v>
      </c>
    </row>
    <row r="24" spans="1:5" s="542" customFormat="1" ht="16.5" customHeight="1" x14ac:dyDescent="0.3">
      <c r="A24" s="567">
        <v>1</v>
      </c>
      <c r="B24" s="568">
        <v>45820174</v>
      </c>
      <c r="C24" s="643">
        <v>152797</v>
      </c>
      <c r="D24" s="643">
        <v>1.1000000000000001</v>
      </c>
      <c r="E24" s="644">
        <v>21.9</v>
      </c>
    </row>
    <row r="25" spans="1:5" s="542" customFormat="1" ht="16.5" customHeight="1" x14ac:dyDescent="0.3">
      <c r="A25" s="567">
        <v>2</v>
      </c>
      <c r="B25" s="568">
        <v>45629637</v>
      </c>
      <c r="C25" s="643">
        <v>153261.4</v>
      </c>
      <c r="D25" s="643">
        <v>1</v>
      </c>
      <c r="E25" s="643">
        <v>21.9</v>
      </c>
    </row>
    <row r="26" spans="1:5" s="542" customFormat="1" ht="16.5" customHeight="1" x14ac:dyDescent="0.3">
      <c r="A26" s="567">
        <v>3</v>
      </c>
      <c r="B26" s="568">
        <v>45688883</v>
      </c>
      <c r="C26" s="643">
        <v>153184.5</v>
      </c>
      <c r="D26" s="643">
        <v>1</v>
      </c>
      <c r="E26" s="643">
        <v>21.9</v>
      </c>
    </row>
    <row r="27" spans="1:5" s="542" customFormat="1" ht="16.5" customHeight="1" x14ac:dyDescent="0.3">
      <c r="A27" s="567">
        <v>4</v>
      </c>
      <c r="B27" s="568">
        <v>45695210</v>
      </c>
      <c r="C27" s="643">
        <v>153070.39999999999</v>
      </c>
      <c r="D27" s="643">
        <v>1</v>
      </c>
      <c r="E27" s="643">
        <v>21.9</v>
      </c>
    </row>
    <row r="28" spans="1:5" s="542" customFormat="1" ht="16.5" customHeight="1" x14ac:dyDescent="0.3">
      <c r="A28" s="567">
        <v>5</v>
      </c>
      <c r="B28" s="568">
        <v>45743469</v>
      </c>
      <c r="C28" s="643">
        <v>153260.4</v>
      </c>
      <c r="D28" s="643">
        <v>1.1000000000000001</v>
      </c>
      <c r="E28" s="643">
        <v>21.9</v>
      </c>
    </row>
    <row r="29" spans="1:5" s="542" customFormat="1" ht="16.5" customHeight="1" x14ac:dyDescent="0.3">
      <c r="A29" s="567">
        <v>6</v>
      </c>
      <c r="B29" s="566">
        <v>45982179</v>
      </c>
      <c r="C29" s="645">
        <v>153373.70000000001</v>
      </c>
      <c r="D29" s="645">
        <v>1</v>
      </c>
      <c r="E29" s="645">
        <v>21.9</v>
      </c>
    </row>
    <row r="30" spans="1:5" s="542" customFormat="1" ht="16.5" customHeight="1" x14ac:dyDescent="0.3">
      <c r="A30" s="565" t="s">
        <v>109</v>
      </c>
      <c r="B30" s="564">
        <f>AVERAGE(B24:B29)</f>
        <v>45759925.333333336</v>
      </c>
      <c r="C30" s="563">
        <f>AVERAGE(C24:C29)</f>
        <v>153157.90000000002</v>
      </c>
      <c r="D30" s="562">
        <f>AVERAGE(D24:D29)</f>
        <v>1.0333333333333332</v>
      </c>
      <c r="E30" s="562">
        <f>AVERAGE(E24:E29)</f>
        <v>21.900000000000002</v>
      </c>
    </row>
    <row r="31" spans="1:5" s="542" customFormat="1" ht="16.5" customHeight="1" x14ac:dyDescent="0.3">
      <c r="A31" s="561" t="s">
        <v>108</v>
      </c>
      <c r="B31" s="560">
        <f>(STDEV(B24:B29)/B30)</f>
        <v>2.7557121776182808E-3</v>
      </c>
      <c r="C31" s="559"/>
      <c r="D31" s="559"/>
      <c r="E31" s="558"/>
    </row>
    <row r="32" spans="1:5" s="542" customFormat="1" ht="16.5" customHeight="1" x14ac:dyDescent="0.3">
      <c r="A32" s="557" t="s">
        <v>3</v>
      </c>
      <c r="B32" s="556">
        <f>COUNT(B24:B29)</f>
        <v>6</v>
      </c>
      <c r="C32" s="555"/>
      <c r="D32" s="554"/>
      <c r="E32" s="553"/>
    </row>
    <row r="33" spans="1:5" s="542" customFormat="1" ht="15.75" customHeight="1" x14ac:dyDescent="0.3">
      <c r="A33" s="552"/>
      <c r="B33" s="552"/>
      <c r="C33" s="552"/>
      <c r="D33" s="552"/>
      <c r="E33" s="552"/>
    </row>
    <row r="34" spans="1:5" s="542" customFormat="1" ht="16.5" customHeight="1" x14ac:dyDescent="0.3">
      <c r="A34" s="551" t="s">
        <v>107</v>
      </c>
      <c r="B34" s="550" t="s">
        <v>106</v>
      </c>
      <c r="C34" s="549"/>
      <c r="D34" s="549"/>
      <c r="E34" s="549"/>
    </row>
    <row r="35" spans="1:5" s="542" customFormat="1" ht="16.5" customHeight="1" x14ac:dyDescent="0.3">
      <c r="A35" s="551"/>
      <c r="B35" s="550" t="s">
        <v>105</v>
      </c>
      <c r="C35" s="549"/>
      <c r="D35" s="549"/>
      <c r="E35" s="549"/>
    </row>
    <row r="36" spans="1:5" s="542" customFormat="1" ht="16.5" customHeight="1" x14ac:dyDescent="0.3">
      <c r="A36" s="551"/>
      <c r="B36" s="550" t="s">
        <v>104</v>
      </c>
      <c r="C36" s="549"/>
      <c r="D36" s="549"/>
      <c r="E36" s="549"/>
    </row>
    <row r="37" spans="1:5" s="542" customFormat="1" ht="15.75" customHeight="1" x14ac:dyDescent="0.3">
      <c r="A37" s="552"/>
      <c r="B37" s="552"/>
      <c r="C37" s="552"/>
      <c r="D37" s="552"/>
      <c r="E37" s="552"/>
    </row>
    <row r="38" spans="1:5" s="542" customFormat="1" ht="16.5" customHeight="1" x14ac:dyDescent="0.3">
      <c r="A38" s="574" t="s">
        <v>0</v>
      </c>
      <c r="B38" s="642" t="s">
        <v>117</v>
      </c>
    </row>
    <row r="39" spans="1:5" s="542" customFormat="1" ht="16.5" customHeight="1" x14ac:dyDescent="0.3">
      <c r="A39" s="551" t="s">
        <v>1</v>
      </c>
      <c r="B39" s="573" t="str">
        <f>B18</f>
        <v>Efavirenz</v>
      </c>
      <c r="C39" s="552"/>
      <c r="D39" s="552"/>
      <c r="E39" s="552"/>
    </row>
    <row r="40" spans="1:5" s="542" customFormat="1" ht="16.5" customHeight="1" x14ac:dyDescent="0.3">
      <c r="A40" s="551" t="s">
        <v>2</v>
      </c>
      <c r="B40" s="691">
        <v>99.3</v>
      </c>
      <c r="C40" s="552"/>
      <c r="D40" s="552"/>
      <c r="E40" s="552"/>
    </row>
    <row r="41" spans="1:5" s="542" customFormat="1" ht="16.5" customHeight="1" x14ac:dyDescent="0.3">
      <c r="A41" s="572" t="s">
        <v>116</v>
      </c>
      <c r="B41" s="691">
        <v>27.61</v>
      </c>
      <c r="C41" s="552"/>
      <c r="D41" s="552"/>
      <c r="E41" s="552"/>
    </row>
    <row r="42" spans="1:5" s="542" customFormat="1" ht="16.5" customHeight="1" x14ac:dyDescent="0.3">
      <c r="A42" s="572" t="s">
        <v>115</v>
      </c>
      <c r="B42" s="692">
        <f>B41/25*10/20</f>
        <v>0.55220000000000002</v>
      </c>
      <c r="C42" s="552"/>
      <c r="D42" s="552"/>
      <c r="E42" s="552"/>
    </row>
    <row r="43" spans="1:5" s="542" customFormat="1" ht="15.75" customHeight="1" x14ac:dyDescent="0.3">
      <c r="A43" s="552"/>
      <c r="B43" s="552"/>
      <c r="C43" s="552"/>
      <c r="D43" s="552"/>
      <c r="E43" s="552"/>
    </row>
    <row r="44" spans="1:5" s="542" customFormat="1" ht="16.5" customHeight="1" x14ac:dyDescent="0.3">
      <c r="A44" s="569" t="s">
        <v>114</v>
      </c>
      <c r="B44" s="570" t="s">
        <v>113</v>
      </c>
      <c r="C44" s="569" t="s">
        <v>112</v>
      </c>
      <c r="D44" s="569" t="s">
        <v>111</v>
      </c>
      <c r="E44" s="569" t="s">
        <v>110</v>
      </c>
    </row>
    <row r="45" spans="1:5" s="542" customFormat="1" ht="16.5" customHeight="1" x14ac:dyDescent="0.3">
      <c r="A45" s="567">
        <v>1</v>
      </c>
      <c r="B45" s="648">
        <v>185235996</v>
      </c>
      <c r="C45" s="646">
        <v>137308.6</v>
      </c>
      <c r="D45" s="643">
        <v>1.1000000000000001</v>
      </c>
      <c r="E45" s="644">
        <v>21.5</v>
      </c>
    </row>
    <row r="46" spans="1:5" s="542" customFormat="1" ht="16.5" customHeight="1" x14ac:dyDescent="0.3">
      <c r="A46" s="567">
        <v>2</v>
      </c>
      <c r="B46" s="648">
        <v>183604383</v>
      </c>
      <c r="C46" s="646">
        <v>137825.60000000001</v>
      </c>
      <c r="D46" s="643">
        <v>1.1000000000000001</v>
      </c>
      <c r="E46" s="643">
        <v>21.5</v>
      </c>
    </row>
    <row r="47" spans="1:5" s="542" customFormat="1" ht="16.5" customHeight="1" x14ac:dyDescent="0.3">
      <c r="A47" s="567">
        <v>3</v>
      </c>
      <c r="B47" s="648">
        <v>183315682</v>
      </c>
      <c r="C47" s="646">
        <v>137962.29999999999</v>
      </c>
      <c r="D47" s="643">
        <v>1.1000000000000001</v>
      </c>
      <c r="E47" s="643">
        <v>21.5</v>
      </c>
    </row>
    <row r="48" spans="1:5" s="542" customFormat="1" ht="16.5" customHeight="1" x14ac:dyDescent="0.3">
      <c r="A48" s="567">
        <v>4</v>
      </c>
      <c r="B48" s="648">
        <v>183559259</v>
      </c>
      <c r="C48" s="646">
        <v>137928.70000000001</v>
      </c>
      <c r="D48" s="643">
        <v>1.1000000000000001</v>
      </c>
      <c r="E48" s="643">
        <v>21.4</v>
      </c>
    </row>
    <row r="49" spans="1:7" s="542" customFormat="1" ht="16.5" customHeight="1" x14ac:dyDescent="0.3">
      <c r="A49" s="567">
        <v>5</v>
      </c>
      <c r="B49" s="648">
        <v>185884643</v>
      </c>
      <c r="C49" s="646">
        <v>137540.5</v>
      </c>
      <c r="D49" s="643">
        <v>1.1000000000000001</v>
      </c>
      <c r="E49" s="643">
        <v>21.5</v>
      </c>
    </row>
    <row r="50" spans="1:7" s="542" customFormat="1" ht="16.5" customHeight="1" x14ac:dyDescent="0.3">
      <c r="A50" s="567">
        <v>6</v>
      </c>
      <c r="B50" s="649">
        <v>187123195</v>
      </c>
      <c r="C50" s="647">
        <v>136706.79999999999</v>
      </c>
      <c r="D50" s="645">
        <v>1.1000000000000001</v>
      </c>
      <c r="E50" s="645">
        <v>21.4</v>
      </c>
    </row>
    <row r="51" spans="1:7" s="542" customFormat="1" ht="16.5" customHeight="1" x14ac:dyDescent="0.3">
      <c r="A51" s="565" t="s">
        <v>109</v>
      </c>
      <c r="B51" s="564">
        <f>AVERAGE(B45:B50)</f>
        <v>184787193</v>
      </c>
      <c r="C51" s="701">
        <f>AVERAGE(C45:C50)</f>
        <v>137545.41666666666</v>
      </c>
      <c r="D51" s="562">
        <f>AVERAGE(D45:D50)</f>
        <v>1.0999999999999999</v>
      </c>
      <c r="E51" s="562">
        <f>AVERAGE(E45:E50)</f>
        <v>21.466666666666669</v>
      </c>
    </row>
    <row r="52" spans="1:7" s="542" customFormat="1" ht="16.5" customHeight="1" x14ac:dyDescent="0.3">
      <c r="A52" s="561" t="s">
        <v>108</v>
      </c>
      <c r="B52" s="560">
        <f>(STDEV(B45:B50)/B51)</f>
        <v>8.3609014423746981E-3</v>
      </c>
      <c r="C52" s="559"/>
      <c r="D52" s="559"/>
      <c r="E52" s="558"/>
    </row>
    <row r="53" spans="1:7" s="542" customFormat="1" ht="16.5" customHeight="1" x14ac:dyDescent="0.3">
      <c r="A53" s="557" t="s">
        <v>3</v>
      </c>
      <c r="B53" s="556">
        <f>COUNT(B45:B50)</f>
        <v>6</v>
      </c>
      <c r="C53" s="555"/>
      <c r="D53" s="554"/>
      <c r="E53" s="553"/>
    </row>
    <row r="54" spans="1:7" s="542" customFormat="1" ht="15.75" customHeight="1" x14ac:dyDescent="0.3">
      <c r="A54" s="552"/>
      <c r="B54" s="552"/>
      <c r="C54" s="552"/>
      <c r="D54" s="552"/>
      <c r="E54" s="552"/>
    </row>
    <row r="55" spans="1:7" s="542" customFormat="1" ht="16.5" customHeight="1" x14ac:dyDescent="0.3">
      <c r="A55" s="551" t="s">
        <v>107</v>
      </c>
      <c r="B55" s="550" t="s">
        <v>106</v>
      </c>
      <c r="C55" s="549"/>
      <c r="D55" s="549"/>
      <c r="E55" s="549"/>
    </row>
    <row r="56" spans="1:7" s="542" customFormat="1" ht="16.5" customHeight="1" x14ac:dyDescent="0.3">
      <c r="A56" s="551"/>
      <c r="B56" s="550" t="s">
        <v>105</v>
      </c>
      <c r="C56" s="549"/>
      <c r="D56" s="549"/>
      <c r="E56" s="549"/>
    </row>
    <row r="57" spans="1:7" s="542" customFormat="1" ht="16.5" customHeight="1" x14ac:dyDescent="0.3">
      <c r="A57" s="551"/>
      <c r="B57" s="550" t="s">
        <v>104</v>
      </c>
      <c r="C57" s="549"/>
      <c r="D57" s="549"/>
      <c r="E57" s="549"/>
    </row>
    <row r="58" spans="1:7" s="542" customFormat="1" ht="14.25" customHeight="1" thickBot="1" x14ac:dyDescent="0.35">
      <c r="A58" s="548"/>
      <c r="B58" s="547"/>
      <c r="D58" s="546"/>
      <c r="F58" s="685"/>
      <c r="G58" s="541"/>
    </row>
    <row r="59" spans="1:7" s="542" customFormat="1" ht="15" customHeight="1" x14ac:dyDescent="0.3">
      <c r="B59" s="704" t="s">
        <v>4</v>
      </c>
      <c r="C59" s="704"/>
      <c r="D59" s="545" t="s">
        <v>5</v>
      </c>
      <c r="E59" s="545" t="s">
        <v>6</v>
      </c>
      <c r="F59" s="684"/>
    </row>
    <row r="60" spans="1:7" s="542" customFormat="1" ht="15" customHeight="1" x14ac:dyDescent="0.3">
      <c r="B60" s="690"/>
      <c r="C60" s="690"/>
      <c r="D60" s="690"/>
      <c r="E60" s="690"/>
      <c r="F60" s="684"/>
    </row>
    <row r="61" spans="1:7" s="542" customFormat="1" ht="15" customHeight="1" x14ac:dyDescent="0.3">
      <c r="A61" s="543" t="s">
        <v>7</v>
      </c>
      <c r="B61" s="705" t="s">
        <v>136</v>
      </c>
      <c r="C61" s="706"/>
      <c r="D61" s="687">
        <v>42500</v>
      </c>
      <c r="E61" s="544"/>
    </row>
    <row r="62" spans="1:7" s="542" customFormat="1" ht="15" customHeight="1" x14ac:dyDescent="0.3">
      <c r="A62" s="543"/>
      <c r="B62" s="681"/>
      <c r="C62" s="681"/>
      <c r="D62" s="686"/>
      <c r="G62" s="681"/>
    </row>
    <row r="63" spans="1:7" s="542" customFormat="1" ht="15" customHeight="1" x14ac:dyDescent="0.3">
      <c r="A63" s="543" t="s">
        <v>8</v>
      </c>
      <c r="B63" s="688"/>
      <c r="C63" s="688"/>
      <c r="D63" s="688"/>
      <c r="E63" s="683"/>
      <c r="F63" s="681"/>
      <c r="G63" s="68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61:C61"/>
  </mergeCells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8" workbookViewId="0">
      <selection activeCell="C40" sqref="C40"/>
    </sheetView>
  </sheetViews>
  <sheetFormatPr defaultColWidth="9.109375" defaultRowHeight="15.6" x14ac:dyDescent="0.3"/>
  <cols>
    <col min="1" max="1" width="13.109375" style="596" customWidth="1"/>
    <col min="2" max="2" width="19.33203125" style="619" customWidth="1"/>
    <col min="3" max="3" width="18.88671875" style="596" customWidth="1"/>
    <col min="4" max="4" width="21.21875" style="592" customWidth="1"/>
    <col min="5" max="5" width="18.44140625" style="596" customWidth="1"/>
    <col min="6" max="6" width="6.44140625" style="589" customWidth="1"/>
    <col min="7" max="7" width="17.109375" style="589" customWidth="1"/>
    <col min="8" max="8" width="13.109375" style="589" customWidth="1"/>
    <col min="9" max="9" width="11" style="589" customWidth="1"/>
    <col min="10" max="10" width="15" style="589" customWidth="1"/>
    <col min="11" max="11" width="7.5546875" style="589" customWidth="1"/>
    <col min="12" max="12" width="13.109375" style="589" customWidth="1"/>
    <col min="13" max="13" width="11" style="589" customWidth="1"/>
    <col min="14" max="14" width="12.33203125" style="589" customWidth="1"/>
    <col min="15" max="15" width="6.5546875" style="589" customWidth="1"/>
    <col min="16" max="16" width="9.109375" style="589"/>
    <col min="17" max="16384" width="9.109375" style="541"/>
  </cols>
  <sheetData>
    <row r="1" spans="1:15" ht="13.8" x14ac:dyDescent="0.3">
      <c r="A1" s="584"/>
      <c r="B1" s="585"/>
      <c r="C1" s="584"/>
      <c r="D1" s="586"/>
      <c r="E1" s="587"/>
      <c r="F1" s="585"/>
      <c r="G1" s="587"/>
      <c r="H1" s="587"/>
      <c r="I1" s="585"/>
      <c r="J1" s="587"/>
      <c r="K1" s="588"/>
      <c r="L1" s="587"/>
      <c r="M1" s="585"/>
      <c r="N1" s="587"/>
      <c r="O1" s="585"/>
    </row>
    <row r="2" spans="1:15" ht="13.8" x14ac:dyDescent="0.3">
      <c r="A2" s="584"/>
      <c r="B2" s="585"/>
      <c r="C2" s="584"/>
      <c r="D2" s="586"/>
      <c r="E2" s="590"/>
      <c r="F2" s="585"/>
      <c r="G2" s="590"/>
      <c r="H2" s="590"/>
      <c r="I2" s="585"/>
      <c r="J2" s="590"/>
      <c r="K2" s="588"/>
      <c r="L2" s="590"/>
      <c r="M2" s="588"/>
      <c r="N2" s="590"/>
      <c r="O2" s="588"/>
    </row>
    <row r="3" spans="1:15" ht="13.8" x14ac:dyDescent="0.3">
      <c r="A3" s="584"/>
      <c r="B3" s="585"/>
      <c r="C3" s="584"/>
      <c r="D3" s="586"/>
      <c r="E3" s="590"/>
      <c r="F3" s="585"/>
      <c r="G3" s="590"/>
      <c r="H3" s="590"/>
      <c r="I3" s="585"/>
      <c r="J3" s="590"/>
      <c r="K3" s="588"/>
      <c r="L3" s="590"/>
      <c r="M3" s="588"/>
      <c r="N3" s="590"/>
      <c r="O3" s="588"/>
    </row>
    <row r="4" spans="1:15" ht="13.8" x14ac:dyDescent="0.3">
      <c r="A4" s="584"/>
      <c r="B4" s="585"/>
      <c r="C4" s="584"/>
      <c r="D4" s="586"/>
      <c r="E4" s="590"/>
      <c r="F4" s="585"/>
      <c r="G4" s="590"/>
      <c r="H4" s="590"/>
      <c r="I4" s="585"/>
      <c r="J4" s="590"/>
      <c r="K4" s="588"/>
      <c r="L4" s="590"/>
      <c r="M4" s="588"/>
      <c r="N4" s="590"/>
      <c r="O4" s="588"/>
    </row>
    <row r="5" spans="1:15" ht="13.8" x14ac:dyDescent="0.3">
      <c r="A5" s="584"/>
      <c r="B5" s="585"/>
      <c r="C5" s="584"/>
      <c r="D5" s="586"/>
      <c r="E5" s="590"/>
      <c r="F5" s="585"/>
      <c r="G5" s="590"/>
      <c r="H5" s="590"/>
      <c r="I5" s="585"/>
      <c r="J5" s="590"/>
      <c r="K5" s="588"/>
      <c r="L5" s="590"/>
      <c r="M5" s="588"/>
      <c r="N5" s="590"/>
      <c r="O5" s="588"/>
    </row>
    <row r="6" spans="1:15" ht="13.8" x14ac:dyDescent="0.3">
      <c r="A6" s="584"/>
      <c r="B6" s="585"/>
      <c r="C6" s="584"/>
      <c r="D6" s="586"/>
      <c r="E6" s="590"/>
      <c r="F6" s="585"/>
      <c r="G6" s="590"/>
      <c r="H6" s="590"/>
      <c r="I6" s="585"/>
      <c r="J6" s="590"/>
      <c r="K6" s="588"/>
      <c r="L6" s="590"/>
      <c r="M6" s="588"/>
      <c r="N6" s="590"/>
      <c r="O6" s="588"/>
    </row>
    <row r="7" spans="1:15" ht="13.8" x14ac:dyDescent="0.3">
      <c r="A7" s="584"/>
      <c r="B7" s="585"/>
      <c r="C7" s="584"/>
      <c r="D7" s="586"/>
      <c r="E7" s="590"/>
      <c r="F7" s="585"/>
      <c r="G7" s="590"/>
      <c r="H7" s="590"/>
      <c r="I7" s="585"/>
      <c r="J7" s="590"/>
      <c r="K7" s="588"/>
      <c r="L7" s="590"/>
      <c r="M7" s="588"/>
      <c r="N7" s="590"/>
      <c r="O7" s="588"/>
    </row>
    <row r="8" spans="1:15" ht="19.5" customHeight="1" x14ac:dyDescent="0.3">
      <c r="A8" s="708" t="s">
        <v>9</v>
      </c>
      <c r="B8" s="708"/>
      <c r="C8" s="708"/>
      <c r="D8" s="708"/>
      <c r="E8" s="708"/>
      <c r="F8" s="708"/>
      <c r="G8" s="708"/>
      <c r="H8" s="590"/>
      <c r="I8" s="585"/>
      <c r="J8" s="590"/>
      <c r="K8" s="588"/>
      <c r="L8" s="590"/>
      <c r="M8" s="588"/>
      <c r="N8" s="590"/>
      <c r="O8" s="588"/>
    </row>
    <row r="9" spans="1:15" ht="19.5" customHeight="1" x14ac:dyDescent="0.3">
      <c r="A9" s="591"/>
      <c r="B9" s="591"/>
      <c r="C9" s="591"/>
      <c r="D9" s="591"/>
      <c r="E9" s="591"/>
      <c r="F9" s="591"/>
      <c r="G9" s="591"/>
      <c r="H9" s="590"/>
      <c r="I9" s="585"/>
      <c r="J9" s="590"/>
      <c r="K9" s="588"/>
      <c r="L9" s="590"/>
      <c r="M9" s="588"/>
      <c r="N9" s="590"/>
      <c r="O9" s="588"/>
    </row>
    <row r="10" spans="1:15" ht="16.5" customHeight="1" x14ac:dyDescent="0.3">
      <c r="A10" s="709" t="s">
        <v>10</v>
      </c>
      <c r="B10" s="709"/>
      <c r="C10" s="709"/>
      <c r="D10" s="709"/>
      <c r="E10" s="709"/>
      <c r="F10" s="709"/>
      <c r="G10" s="709"/>
      <c r="H10" s="590"/>
      <c r="I10" s="585"/>
      <c r="J10" s="590"/>
      <c r="K10" s="588"/>
      <c r="L10" s="590"/>
      <c r="M10" s="588"/>
      <c r="N10" s="590"/>
      <c r="O10" s="588"/>
    </row>
    <row r="11" spans="1:15" ht="15" customHeight="1" x14ac:dyDescent="0.3">
      <c r="A11" s="707" t="s">
        <v>11</v>
      </c>
      <c r="B11" s="707"/>
      <c r="C11" s="584" t="s">
        <v>122</v>
      </c>
      <c r="E11" s="590"/>
      <c r="F11" s="585"/>
      <c r="G11" s="590"/>
      <c r="H11" s="590"/>
      <c r="I11" s="585"/>
      <c r="J11" s="590"/>
      <c r="K11" s="588"/>
      <c r="L11" s="590"/>
      <c r="M11" s="588"/>
      <c r="N11" s="590"/>
      <c r="O11" s="588"/>
    </row>
    <row r="12" spans="1:15" ht="15" customHeight="1" x14ac:dyDescent="0.3">
      <c r="A12" s="707" t="s">
        <v>12</v>
      </c>
      <c r="B12" s="707"/>
      <c r="C12" s="584" t="s">
        <v>138</v>
      </c>
      <c r="E12" s="590"/>
      <c r="F12" s="585"/>
      <c r="G12" s="590"/>
      <c r="H12" s="590"/>
      <c r="I12" s="585"/>
      <c r="J12" s="590"/>
      <c r="K12" s="588"/>
      <c r="L12" s="590"/>
      <c r="M12" s="588"/>
      <c r="N12" s="590"/>
      <c r="O12" s="588"/>
    </row>
    <row r="13" spans="1:15" ht="15" customHeight="1" x14ac:dyDescent="0.3">
      <c r="A13" s="707" t="s">
        <v>13</v>
      </c>
      <c r="B13" s="707"/>
      <c r="C13" s="584" t="s">
        <v>123</v>
      </c>
      <c r="E13" s="590"/>
      <c r="F13" s="585"/>
      <c r="G13" s="590"/>
      <c r="H13" s="590"/>
      <c r="I13" s="585"/>
      <c r="J13" s="590"/>
      <c r="K13" s="588"/>
      <c r="L13" s="590"/>
      <c r="M13" s="588"/>
      <c r="N13" s="590"/>
      <c r="O13" s="588"/>
    </row>
    <row r="14" spans="1:15" ht="15" customHeight="1" x14ac:dyDescent="0.3">
      <c r="A14" s="707" t="s">
        <v>14</v>
      </c>
      <c r="B14" s="707"/>
      <c r="C14" s="593" t="s">
        <v>124</v>
      </c>
      <c r="D14" s="594"/>
      <c r="E14" s="594"/>
      <c r="F14" s="594"/>
      <c r="G14" s="594"/>
      <c r="H14" s="590"/>
      <c r="I14" s="585"/>
      <c r="J14" s="590"/>
      <c r="K14" s="588"/>
      <c r="L14" s="590"/>
      <c r="M14" s="588"/>
      <c r="N14" s="590"/>
      <c r="O14" s="588"/>
    </row>
    <row r="15" spans="1:15" ht="15" customHeight="1" x14ac:dyDescent="0.3">
      <c r="A15" s="707" t="s">
        <v>15</v>
      </c>
      <c r="B15" s="707"/>
      <c r="C15" s="595"/>
      <c r="D15" s="584"/>
      <c r="E15" s="590"/>
      <c r="F15" s="585"/>
      <c r="G15" s="590"/>
      <c r="H15" s="590"/>
      <c r="I15" s="585"/>
      <c r="J15" s="590"/>
      <c r="K15" s="588"/>
      <c r="L15" s="590"/>
      <c r="M15" s="588"/>
      <c r="N15" s="590"/>
      <c r="O15" s="588"/>
    </row>
    <row r="16" spans="1:15" ht="15" customHeight="1" x14ac:dyDescent="0.3">
      <c r="A16" s="707" t="s">
        <v>16</v>
      </c>
      <c r="B16" s="707"/>
      <c r="C16" s="595"/>
      <c r="D16" s="584"/>
      <c r="E16" s="590"/>
      <c r="F16" s="585"/>
      <c r="G16" s="590"/>
      <c r="H16" s="590"/>
      <c r="I16" s="585"/>
      <c r="J16" s="590"/>
      <c r="K16" s="588"/>
      <c r="L16" s="590"/>
      <c r="M16" s="588"/>
      <c r="N16" s="590"/>
      <c r="O16" s="588"/>
    </row>
    <row r="17" spans="1:15" ht="14.4" x14ac:dyDescent="0.3">
      <c r="B17" s="597"/>
      <c r="D17" s="584"/>
      <c r="E17" s="590"/>
      <c r="F17" s="585"/>
      <c r="G17" s="590"/>
      <c r="H17" s="590"/>
      <c r="I17" s="585"/>
      <c r="J17" s="590"/>
      <c r="K17" s="588"/>
      <c r="L17" s="590"/>
      <c r="M17" s="588"/>
      <c r="N17" s="590"/>
      <c r="O17" s="588"/>
    </row>
    <row r="18" spans="1:15" ht="15" customHeight="1" x14ac:dyDescent="0.3">
      <c r="A18" s="710" t="s">
        <v>0</v>
      </c>
      <c r="B18" s="710"/>
      <c r="C18" s="598" t="s">
        <v>17</v>
      </c>
      <c r="D18" s="584"/>
      <c r="E18" s="590"/>
      <c r="F18" s="585"/>
      <c r="G18" s="590"/>
      <c r="H18" s="590"/>
      <c r="I18" s="585"/>
      <c r="J18" s="590"/>
      <c r="K18" s="588"/>
      <c r="L18" s="590"/>
      <c r="M18" s="588"/>
      <c r="N18" s="590"/>
      <c r="O18" s="588"/>
    </row>
    <row r="19" spans="1:15" ht="15.75" customHeight="1" thickBot="1" x14ac:dyDescent="0.35">
      <c r="A19" s="589"/>
      <c r="B19" s="584"/>
      <c r="D19" s="584"/>
      <c r="E19" s="590"/>
      <c r="F19" s="585"/>
      <c r="G19" s="590"/>
      <c r="H19" s="590"/>
      <c r="I19" s="585"/>
      <c r="J19" s="590"/>
      <c r="K19" s="588"/>
      <c r="L19" s="590"/>
      <c r="M19" s="588"/>
      <c r="N19" s="590"/>
      <c r="O19" s="588"/>
    </row>
    <row r="20" spans="1:15" ht="15.75" customHeight="1" thickBot="1" x14ac:dyDescent="0.35">
      <c r="B20" s="599" t="s">
        <v>121</v>
      </c>
      <c r="C20" s="638" t="s">
        <v>125</v>
      </c>
      <c r="D20" s="639" t="s">
        <v>18</v>
      </c>
      <c r="G20" s="590"/>
      <c r="H20" s="600"/>
      <c r="I20" s="585"/>
      <c r="J20" s="590"/>
      <c r="K20" s="588"/>
      <c r="L20" s="600"/>
      <c r="M20" s="588"/>
      <c r="N20" s="600"/>
      <c r="O20" s="588"/>
    </row>
    <row r="21" spans="1:15" ht="14.4" x14ac:dyDescent="0.3">
      <c r="B21" s="601">
        <v>1</v>
      </c>
      <c r="C21" s="634">
        <v>1912.27</v>
      </c>
      <c r="D21" s="640">
        <f>(C21-$C$44)/$C$44</f>
        <v>1.1326901490200981E-2</v>
      </c>
      <c r="G21" s="590"/>
      <c r="H21" s="600"/>
      <c r="I21" s="585"/>
      <c r="J21" s="590"/>
      <c r="K21" s="588"/>
      <c r="L21" s="600"/>
      <c r="M21" s="588"/>
      <c r="N21" s="600"/>
      <c r="O21" s="588"/>
    </row>
    <row r="22" spans="1:15" ht="14.4" x14ac:dyDescent="0.3">
      <c r="B22" s="602">
        <v>2</v>
      </c>
      <c r="C22" s="635">
        <v>1884.46</v>
      </c>
      <c r="D22" s="640">
        <f t="shared" ref="D22:D40" si="0">(C22-$C$44)/$C$44</f>
        <v>-3.3807502171637931E-3</v>
      </c>
      <c r="G22" s="590"/>
      <c r="H22" s="600"/>
      <c r="I22" s="585"/>
      <c r="J22" s="590"/>
      <c r="K22" s="588"/>
      <c r="L22" s="600"/>
      <c r="M22" s="588"/>
      <c r="N22" s="600"/>
      <c r="O22" s="588"/>
    </row>
    <row r="23" spans="1:15" ht="14.4" x14ac:dyDescent="0.3">
      <c r="B23" s="602">
        <v>3</v>
      </c>
      <c r="C23" s="635">
        <v>1892.95</v>
      </c>
      <c r="D23" s="640">
        <f t="shared" si="0"/>
        <v>1.1092880063359302E-3</v>
      </c>
      <c r="G23" s="590"/>
      <c r="H23" s="600"/>
      <c r="I23" s="585"/>
      <c r="J23" s="590"/>
      <c r="K23" s="588"/>
      <c r="L23" s="600"/>
      <c r="M23" s="588"/>
      <c r="N23" s="600"/>
      <c r="O23" s="588"/>
    </row>
    <row r="24" spans="1:15" ht="14.4" x14ac:dyDescent="0.3">
      <c r="B24" s="602">
        <v>4</v>
      </c>
      <c r="C24" s="635">
        <v>1902.98</v>
      </c>
      <c r="D24" s="640">
        <f t="shared" si="0"/>
        <v>6.4137736814480683E-3</v>
      </c>
      <c r="G24" s="590"/>
      <c r="H24" s="600"/>
      <c r="I24" s="585"/>
      <c r="J24" s="590"/>
      <c r="K24" s="588"/>
      <c r="L24" s="600"/>
      <c r="M24" s="588"/>
      <c r="N24" s="600"/>
      <c r="O24" s="588"/>
    </row>
    <row r="25" spans="1:15" ht="14.4" x14ac:dyDescent="0.3">
      <c r="B25" s="602">
        <v>5</v>
      </c>
      <c r="C25" s="635">
        <v>1880.29</v>
      </c>
      <c r="D25" s="640">
        <f t="shared" si="0"/>
        <v>-5.5861046802962019E-3</v>
      </c>
      <c r="G25" s="590"/>
      <c r="H25" s="600"/>
      <c r="I25" s="585"/>
      <c r="J25" s="590"/>
      <c r="K25" s="588"/>
      <c r="L25" s="600"/>
      <c r="M25" s="588"/>
      <c r="N25" s="600"/>
      <c r="O25" s="588"/>
    </row>
    <row r="26" spans="1:15" ht="14.4" x14ac:dyDescent="0.3">
      <c r="B26" s="602">
        <v>6</v>
      </c>
      <c r="C26" s="635">
        <v>1887.27</v>
      </c>
      <c r="D26" s="640">
        <f t="shared" si="0"/>
        <v>-1.8946480489619127E-3</v>
      </c>
      <c r="G26" s="590"/>
      <c r="H26" s="600"/>
      <c r="I26" s="585"/>
      <c r="J26" s="590"/>
      <c r="K26" s="588"/>
      <c r="L26" s="600"/>
      <c r="M26" s="588"/>
      <c r="N26" s="600"/>
      <c r="O26" s="588"/>
    </row>
    <row r="27" spans="1:15" ht="14.4" x14ac:dyDescent="0.3">
      <c r="B27" s="602">
        <v>7</v>
      </c>
      <c r="C27" s="635">
        <v>1877.41</v>
      </c>
      <c r="D27" s="640">
        <f t="shared" si="0"/>
        <v>-7.1092271872077043E-3</v>
      </c>
      <c r="G27" s="590"/>
      <c r="H27" s="600"/>
      <c r="I27" s="585"/>
      <c r="J27" s="590"/>
      <c r="K27" s="588"/>
      <c r="L27" s="600"/>
      <c r="M27" s="588"/>
      <c r="N27" s="600"/>
      <c r="O27" s="588"/>
    </row>
    <row r="28" spans="1:15" ht="14.4" x14ac:dyDescent="0.3">
      <c r="B28" s="602">
        <v>8</v>
      </c>
      <c r="C28" s="635">
        <v>1903.74</v>
      </c>
      <c r="D28" s="640">
        <f t="shared" si="0"/>
        <v>6.8157087874386154E-3</v>
      </c>
      <c r="G28" s="590"/>
      <c r="H28" s="600"/>
      <c r="I28" s="585"/>
      <c r="J28" s="590"/>
      <c r="K28" s="588"/>
      <c r="L28" s="600"/>
      <c r="M28" s="588"/>
      <c r="N28" s="600"/>
      <c r="O28" s="588"/>
    </row>
    <row r="29" spans="1:15" ht="14.4" x14ac:dyDescent="0.3">
      <c r="B29" s="602">
        <v>9</v>
      </c>
      <c r="C29" s="635">
        <v>1964.26</v>
      </c>
      <c r="D29" s="640">
        <f t="shared" si="0"/>
        <v>3.8822435911844137E-2</v>
      </c>
      <c r="G29" s="590"/>
      <c r="H29" s="600"/>
      <c r="I29" s="585"/>
      <c r="J29" s="590"/>
      <c r="K29" s="588"/>
      <c r="L29" s="600"/>
      <c r="M29" s="588"/>
      <c r="N29" s="600"/>
      <c r="O29" s="588"/>
    </row>
    <row r="30" spans="1:15" ht="14.4" x14ac:dyDescent="0.3">
      <c r="B30" s="602">
        <v>10</v>
      </c>
      <c r="C30" s="636">
        <v>1839.33</v>
      </c>
      <c r="D30" s="640">
        <f t="shared" si="0"/>
        <v>-2.7248291445260704E-2</v>
      </c>
      <c r="G30" s="590"/>
      <c r="H30" s="600"/>
      <c r="I30" s="585"/>
      <c r="J30" s="590"/>
      <c r="K30" s="588"/>
      <c r="L30" s="600"/>
      <c r="M30" s="588"/>
      <c r="N30" s="600"/>
      <c r="O30" s="588"/>
    </row>
    <row r="31" spans="1:15" ht="14.4" x14ac:dyDescent="0.3">
      <c r="B31" s="602">
        <v>11</v>
      </c>
      <c r="C31" s="636">
        <v>1865.8</v>
      </c>
      <c r="D31" s="640">
        <f t="shared" si="0"/>
        <v>-1.324931479319502E-2</v>
      </c>
      <c r="G31" s="603"/>
      <c r="H31" s="603"/>
      <c r="I31" s="603"/>
      <c r="J31" s="603"/>
      <c r="K31" s="588"/>
      <c r="L31" s="603"/>
      <c r="M31" s="588"/>
      <c r="N31" s="603"/>
      <c r="O31" s="588"/>
    </row>
    <row r="32" spans="1:15" ht="14.4" x14ac:dyDescent="0.3">
      <c r="B32" s="602">
        <v>12</v>
      </c>
      <c r="C32" s="636">
        <v>1869.03</v>
      </c>
      <c r="D32" s="640">
        <f t="shared" si="0"/>
        <v>-1.1541090592735163E-2</v>
      </c>
      <c r="G32" s="603"/>
      <c r="H32" s="603"/>
      <c r="I32" s="603"/>
      <c r="J32" s="603"/>
      <c r="K32" s="588"/>
      <c r="L32" s="603"/>
      <c r="M32" s="603"/>
      <c r="N32" s="603"/>
      <c r="O32" s="603"/>
    </row>
    <row r="33" spans="2:15" ht="14.4" x14ac:dyDescent="0.3">
      <c r="B33" s="602">
        <v>13</v>
      </c>
      <c r="C33" s="636">
        <v>1889.56</v>
      </c>
      <c r="D33" s="640">
        <f t="shared" si="0"/>
        <v>-6.8355411117461092E-4</v>
      </c>
      <c r="G33" s="604"/>
      <c r="H33" s="604"/>
      <c r="I33" s="604"/>
      <c r="J33" s="604"/>
      <c r="K33" s="605"/>
      <c r="L33" s="604"/>
      <c r="M33" s="604"/>
      <c r="N33" s="606"/>
      <c r="O33" s="604"/>
    </row>
    <row r="34" spans="2:15" ht="14.4" x14ac:dyDescent="0.3">
      <c r="B34" s="602">
        <v>14</v>
      </c>
      <c r="C34" s="636">
        <v>1888.28</v>
      </c>
      <c r="D34" s="640">
        <f t="shared" si="0"/>
        <v>-1.3604974475797365E-3</v>
      </c>
      <c r="G34" s="607"/>
      <c r="H34" s="608"/>
      <c r="I34" s="608"/>
      <c r="J34" s="607"/>
      <c r="K34" s="609"/>
      <c r="L34" s="610"/>
      <c r="M34" s="608"/>
      <c r="N34" s="610"/>
      <c r="O34" s="608"/>
    </row>
    <row r="35" spans="2:15" ht="14.4" x14ac:dyDescent="0.3">
      <c r="B35" s="602">
        <v>15</v>
      </c>
      <c r="C35" s="636">
        <v>1879.59</v>
      </c>
      <c r="D35" s="640">
        <f t="shared" si="0"/>
        <v>-5.9563080673927871E-3</v>
      </c>
      <c r="G35" s="607"/>
      <c r="J35" s="607"/>
      <c r="K35" s="609"/>
      <c r="L35" s="610"/>
      <c r="N35" s="610"/>
    </row>
    <row r="36" spans="2:15" ht="14.4" x14ac:dyDescent="0.3">
      <c r="B36" s="602">
        <v>16</v>
      </c>
      <c r="C36" s="636">
        <v>1895.28</v>
      </c>
      <c r="D36" s="640">
        <f t="shared" si="0"/>
        <v>2.3415364233858732E-3</v>
      </c>
      <c r="G36" s="611"/>
      <c r="H36" s="611"/>
    </row>
    <row r="37" spans="2:15" ht="14.4" x14ac:dyDescent="0.3">
      <c r="B37" s="602">
        <v>17</v>
      </c>
      <c r="C37" s="636">
        <v>1854.49</v>
      </c>
      <c r="D37" s="640">
        <f t="shared" si="0"/>
        <v>-1.9230743804712284E-2</v>
      </c>
    </row>
    <row r="38" spans="2:15" ht="14.4" x14ac:dyDescent="0.3">
      <c r="B38" s="602">
        <v>18</v>
      </c>
      <c r="C38" s="636">
        <v>1900.24</v>
      </c>
      <c r="D38" s="640">
        <f t="shared" si="0"/>
        <v>4.9646918519558108E-3</v>
      </c>
    </row>
    <row r="39" spans="2:15" ht="14.4" x14ac:dyDescent="0.3">
      <c r="B39" s="602">
        <v>19</v>
      </c>
      <c r="C39" s="636">
        <v>1924.62</v>
      </c>
      <c r="D39" s="640">
        <f t="shared" si="0"/>
        <v>1.78583469625474E-2</v>
      </c>
    </row>
    <row r="40" spans="2:15" ht="14.25" customHeight="1" thickBot="1" x14ac:dyDescent="0.35">
      <c r="B40" s="612">
        <v>20</v>
      </c>
      <c r="C40" s="637">
        <v>1905.2</v>
      </c>
      <c r="D40" s="641">
        <f t="shared" si="0"/>
        <v>7.5878472805257476E-3</v>
      </c>
    </row>
    <row r="41" spans="2:15" ht="14.25" customHeight="1" x14ac:dyDescent="0.3">
      <c r="B41" s="597"/>
      <c r="D41" s="613"/>
      <c r="F41" s="618"/>
      <c r="G41" s="590"/>
    </row>
    <row r="42" spans="2:15" ht="16.2" thickBot="1" x14ac:dyDescent="0.35"/>
    <row r="43" spans="2:15" ht="15.75" customHeight="1" x14ac:dyDescent="0.3">
      <c r="B43" s="620" t="s">
        <v>19</v>
      </c>
      <c r="C43" s="694">
        <f>SUM(C21:C40)</f>
        <v>37817.049999999996</v>
      </c>
    </row>
    <row r="44" spans="2:15" ht="16.2" thickBot="1" x14ac:dyDescent="0.35">
      <c r="B44" s="621" t="s">
        <v>20</v>
      </c>
      <c r="C44" s="695">
        <f>AVERAGE(C21:C40)</f>
        <v>1890.8524999999997</v>
      </c>
      <c r="M44" s="596"/>
    </row>
    <row r="45" spans="2:15" ht="14.25" customHeight="1" thickBot="1" x14ac:dyDescent="0.35">
      <c r="M45" s="596"/>
    </row>
    <row r="46" spans="2:15" ht="30.75" customHeight="1" thickBot="1" x14ac:dyDescent="0.35">
      <c r="B46" s="623" t="s">
        <v>20</v>
      </c>
      <c r="C46" s="624" t="s">
        <v>21</v>
      </c>
      <c r="I46" s="584"/>
      <c r="J46" s="614"/>
      <c r="K46" s="614"/>
      <c r="L46" s="584"/>
      <c r="M46" s="596"/>
    </row>
    <row r="47" spans="2:15" ht="15.75" customHeight="1" thickBot="1" x14ac:dyDescent="0.35">
      <c r="B47" s="711">
        <f>C44</f>
        <v>1890.8524999999997</v>
      </c>
      <c r="C47" s="625">
        <f>-IF(C44&lt;=80,10%,IF(C44&lt;250,7.5%,5%))</f>
        <v>-0.05</v>
      </c>
      <c r="D47" s="627">
        <f>IF(C44&lt;=80,C44*0.9,IF(C44&lt;250,C44*0.925,C44*0.95))</f>
        <v>1796.3098749999997</v>
      </c>
      <c r="I47" s="584"/>
      <c r="J47" s="584"/>
      <c r="K47" s="584"/>
      <c r="L47" s="584"/>
      <c r="M47" s="596"/>
    </row>
    <row r="48" spans="2:15" ht="15.75" customHeight="1" thickBot="1" x14ac:dyDescent="0.35">
      <c r="B48" s="712"/>
      <c r="C48" s="626">
        <f>IF(C44&lt;=80, 10%, IF(C44&lt;250, 7.5%, 5%))</f>
        <v>0.05</v>
      </c>
      <c r="D48" s="628">
        <f>IF(C44&lt;=80, C44*1.1, IF(C44&lt;250, C44*1.075, C44*1.05))</f>
        <v>1985.3951249999998</v>
      </c>
    </row>
    <row r="49" spans="1:15" ht="14.25" customHeight="1" x14ac:dyDescent="0.3">
      <c r="A49" s="597"/>
      <c r="D49" s="622"/>
    </row>
    <row r="50" spans="1:15" ht="15" customHeight="1" thickBot="1" x14ac:dyDescent="0.35">
      <c r="A50" s="630"/>
      <c r="B50" s="631"/>
      <c r="C50" s="630"/>
      <c r="D50" s="632"/>
      <c r="E50" s="630"/>
      <c r="F50" s="633"/>
      <c r="G50" s="633"/>
    </row>
    <row r="51" spans="1:15" ht="15" customHeight="1" x14ac:dyDescent="0.3">
      <c r="D51" s="596"/>
      <c r="E51" s="618"/>
      <c r="F51" s="618"/>
    </row>
    <row r="52" spans="1:15" ht="15" customHeight="1" x14ac:dyDescent="0.3">
      <c r="B52" s="713" t="s">
        <v>4</v>
      </c>
      <c r="C52" s="713"/>
      <c r="D52" s="615" t="s">
        <v>5</v>
      </c>
      <c r="E52" s="629"/>
      <c r="F52" s="615" t="s">
        <v>6</v>
      </c>
      <c r="I52" s="541"/>
      <c r="J52" s="541"/>
      <c r="K52" s="541"/>
      <c r="L52" s="541"/>
      <c r="M52" s="541"/>
      <c r="N52" s="541"/>
      <c r="O52" s="541"/>
    </row>
    <row r="53" spans="1:15" ht="15" customHeight="1" x14ac:dyDescent="0.3">
      <c r="A53" s="616" t="s">
        <v>7</v>
      </c>
      <c r="B53" s="617"/>
      <c r="C53" s="617"/>
      <c r="D53" s="617"/>
      <c r="E53" s="584"/>
      <c r="F53" s="617"/>
    </row>
    <row r="54" spans="1:15" ht="13.8" x14ac:dyDescent="0.3">
      <c r="A54" s="616"/>
      <c r="B54" s="597"/>
      <c r="C54" s="597"/>
      <c r="D54" s="597"/>
      <c r="E54" s="584"/>
      <c r="F54" s="597"/>
    </row>
    <row r="55" spans="1:15" ht="13.8" x14ac:dyDescent="0.3">
      <c r="A55" s="616" t="s">
        <v>8</v>
      </c>
      <c r="B55" s="617"/>
      <c r="C55" s="617"/>
      <c r="D55" s="617"/>
      <c r="E55" s="584"/>
      <c r="F55" s="617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14:B14"/>
    <mergeCell ref="A8:G8"/>
    <mergeCell ref="A10:G10"/>
    <mergeCell ref="A11:B11"/>
    <mergeCell ref="A12:B12"/>
    <mergeCell ref="A13:B13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60" zoomScaleNormal="40" zoomScalePageLayoutView="55" workbookViewId="0">
      <selection activeCell="D60" sqref="D60:D7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583"/>
    <col min="13" max="16384" width="9.109375" style="582"/>
  </cols>
  <sheetData>
    <row r="1" spans="1:12" customFormat="1" ht="18.75" customHeight="1" x14ac:dyDescent="0.3">
      <c r="A1" s="734" t="s">
        <v>22</v>
      </c>
      <c r="B1" s="734"/>
      <c r="C1" s="734"/>
      <c r="D1" s="734"/>
      <c r="E1" s="734"/>
      <c r="F1" s="734"/>
      <c r="G1" s="734"/>
      <c r="H1" s="734"/>
      <c r="I1" s="734"/>
      <c r="J1" s="1"/>
      <c r="K1" s="1"/>
      <c r="L1" s="1"/>
    </row>
    <row r="2" spans="1:12" customFormat="1" ht="18.75" customHeigh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1"/>
      <c r="K2" s="1"/>
      <c r="L2" s="1"/>
    </row>
    <row r="3" spans="1:12" customFormat="1" ht="18.75" customHeight="1" x14ac:dyDescent="0.3">
      <c r="A3" s="734"/>
      <c r="B3" s="734"/>
      <c r="C3" s="734"/>
      <c r="D3" s="734"/>
      <c r="E3" s="734"/>
      <c r="F3" s="734"/>
      <c r="G3" s="734"/>
      <c r="H3" s="734"/>
      <c r="I3" s="734"/>
      <c r="J3" s="1"/>
      <c r="K3" s="1"/>
      <c r="L3" s="1"/>
    </row>
    <row r="4" spans="1:12" customFormat="1" ht="18.75" customHeight="1" x14ac:dyDescent="0.3">
      <c r="A4" s="734"/>
      <c r="B4" s="734"/>
      <c r="C4" s="734"/>
      <c r="D4" s="734"/>
      <c r="E4" s="734"/>
      <c r="F4" s="734"/>
      <c r="G4" s="734"/>
      <c r="H4" s="734"/>
      <c r="I4" s="734"/>
      <c r="J4" s="1"/>
      <c r="K4" s="1"/>
      <c r="L4" s="1"/>
    </row>
    <row r="5" spans="1:12" customFormat="1" ht="18.75" customHeight="1" x14ac:dyDescent="0.3">
      <c r="A5" s="734"/>
      <c r="B5" s="734"/>
      <c r="C5" s="734"/>
      <c r="D5" s="734"/>
      <c r="E5" s="734"/>
      <c r="F5" s="734"/>
      <c r="G5" s="734"/>
      <c r="H5" s="734"/>
      <c r="I5" s="734"/>
      <c r="J5" s="1"/>
      <c r="K5" s="1"/>
      <c r="L5" s="1"/>
    </row>
    <row r="6" spans="1:12" customFormat="1" ht="18.75" customHeight="1" x14ac:dyDescent="0.3">
      <c r="A6" s="734"/>
      <c r="B6" s="734"/>
      <c r="C6" s="734"/>
      <c r="D6" s="734"/>
      <c r="E6" s="734"/>
      <c r="F6" s="734"/>
      <c r="G6" s="734"/>
      <c r="H6" s="734"/>
      <c r="I6" s="734"/>
      <c r="J6" s="1"/>
      <c r="K6" s="1"/>
      <c r="L6" s="1"/>
    </row>
    <row r="7" spans="1:12" customFormat="1" ht="18.75" customHeight="1" x14ac:dyDescent="0.3">
      <c r="A7" s="734"/>
      <c r="B7" s="734"/>
      <c r="C7" s="734"/>
      <c r="D7" s="734"/>
      <c r="E7" s="734"/>
      <c r="F7" s="734"/>
      <c r="G7" s="734"/>
      <c r="H7" s="734"/>
      <c r="I7" s="734"/>
      <c r="J7" s="1"/>
      <c r="K7" s="1"/>
      <c r="L7" s="1"/>
    </row>
    <row r="8" spans="1:12" customFormat="1" x14ac:dyDescent="0.3">
      <c r="A8" s="735" t="s">
        <v>23</v>
      </c>
      <c r="B8" s="735"/>
      <c r="C8" s="735"/>
      <c r="D8" s="735"/>
      <c r="E8" s="735"/>
      <c r="F8" s="735"/>
      <c r="G8" s="735"/>
      <c r="H8" s="735"/>
      <c r="I8" s="735"/>
      <c r="J8" s="1"/>
      <c r="K8" s="1"/>
      <c r="L8" s="1"/>
    </row>
    <row r="9" spans="1:12" customFormat="1" x14ac:dyDescent="0.3">
      <c r="A9" s="735"/>
      <c r="B9" s="735"/>
      <c r="C9" s="735"/>
      <c r="D9" s="735"/>
      <c r="E9" s="735"/>
      <c r="F9" s="735"/>
      <c r="G9" s="735"/>
      <c r="H9" s="735"/>
      <c r="I9" s="735"/>
      <c r="J9" s="1"/>
      <c r="K9" s="1"/>
      <c r="L9" s="1"/>
    </row>
    <row r="10" spans="1:12" customFormat="1" x14ac:dyDescent="0.3">
      <c r="A10" s="735"/>
      <c r="B10" s="735"/>
      <c r="C10" s="735"/>
      <c r="D10" s="735"/>
      <c r="E10" s="735"/>
      <c r="F10" s="735"/>
      <c r="G10" s="735"/>
      <c r="H10" s="735"/>
      <c r="I10" s="735"/>
      <c r="J10" s="1"/>
      <c r="K10" s="1"/>
      <c r="L10" s="1"/>
    </row>
    <row r="11" spans="1:12" customFormat="1" x14ac:dyDescent="0.3">
      <c r="A11" s="735"/>
      <c r="B11" s="735"/>
      <c r="C11" s="735"/>
      <c r="D11" s="735"/>
      <c r="E11" s="735"/>
      <c r="F11" s="735"/>
      <c r="G11" s="735"/>
      <c r="H11" s="735"/>
      <c r="I11" s="735"/>
      <c r="J11" s="1"/>
      <c r="K11" s="1"/>
      <c r="L11" s="1"/>
    </row>
    <row r="12" spans="1:12" customFormat="1" x14ac:dyDescent="0.3">
      <c r="A12" s="735"/>
      <c r="B12" s="735"/>
      <c r="C12" s="735"/>
      <c r="D12" s="735"/>
      <c r="E12" s="735"/>
      <c r="F12" s="735"/>
      <c r="G12" s="735"/>
      <c r="H12" s="735"/>
      <c r="I12" s="735"/>
      <c r="J12" s="1"/>
      <c r="K12" s="1"/>
      <c r="L12" s="1"/>
    </row>
    <row r="13" spans="1:12" customFormat="1" x14ac:dyDescent="0.3">
      <c r="A13" s="735"/>
      <c r="B13" s="735"/>
      <c r="C13" s="735"/>
      <c r="D13" s="735"/>
      <c r="E13" s="735"/>
      <c r="F13" s="735"/>
      <c r="G13" s="735"/>
      <c r="H13" s="735"/>
      <c r="I13" s="735"/>
      <c r="J13" s="1"/>
      <c r="K13" s="1"/>
      <c r="L13" s="1"/>
    </row>
    <row r="14" spans="1:12" customFormat="1" x14ac:dyDescent="0.3">
      <c r="A14" s="735"/>
      <c r="B14" s="735"/>
      <c r="C14" s="735"/>
      <c r="D14" s="735"/>
      <c r="E14" s="735"/>
      <c r="F14" s="735"/>
      <c r="G14" s="735"/>
      <c r="H14" s="735"/>
      <c r="I14" s="735"/>
      <c r="J14" s="1"/>
      <c r="K14" s="1"/>
      <c r="L14" s="1"/>
    </row>
    <row r="15" spans="1:12" customFormat="1" ht="19.5" customHeight="1" x14ac:dyDescent="0.35">
      <c r="A15" s="36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5" t="s">
        <v>9</v>
      </c>
      <c r="B16" s="746"/>
      <c r="C16" s="746"/>
      <c r="D16" s="746"/>
      <c r="E16" s="746"/>
      <c r="F16" s="746"/>
      <c r="G16" s="746"/>
      <c r="H16" s="747"/>
      <c r="I16" s="1"/>
      <c r="J16" s="1"/>
      <c r="K16" s="1"/>
      <c r="L16" s="1"/>
    </row>
    <row r="17" spans="1:14" customFormat="1" ht="20.25" customHeight="1" x14ac:dyDescent="0.3">
      <c r="A17" s="748" t="s">
        <v>24</v>
      </c>
      <c r="B17" s="748"/>
      <c r="C17" s="748"/>
      <c r="D17" s="748"/>
      <c r="E17" s="748"/>
      <c r="F17" s="748"/>
      <c r="G17" s="748"/>
      <c r="H17" s="748"/>
      <c r="I17" s="1"/>
      <c r="J17" s="1"/>
      <c r="K17" s="1"/>
      <c r="L17" s="1"/>
    </row>
    <row r="18" spans="1:14" customFormat="1" ht="26.25" customHeight="1" x14ac:dyDescent="0.5">
      <c r="A18" s="364" t="s">
        <v>11</v>
      </c>
      <c r="B18" s="650" t="s">
        <v>126</v>
      </c>
      <c r="C18" s="650"/>
      <c r="D18" s="528"/>
      <c r="E18" s="365"/>
      <c r="F18" s="366"/>
      <c r="G18" s="366"/>
      <c r="H18" s="366"/>
      <c r="I18" s="1"/>
      <c r="J18" s="1"/>
      <c r="K18" s="1"/>
      <c r="L18" s="1"/>
    </row>
    <row r="19" spans="1:14" customFormat="1" ht="26.25" customHeight="1" x14ac:dyDescent="0.5">
      <c r="A19" s="364" t="s">
        <v>12</v>
      </c>
      <c r="B19" s="367" t="s">
        <v>138</v>
      </c>
      <c r="C19" s="540">
        <v>29</v>
      </c>
      <c r="D19" s="366"/>
      <c r="E19" s="366"/>
      <c r="F19" s="366"/>
      <c r="G19" s="366"/>
      <c r="H19" s="366"/>
      <c r="I19" s="1"/>
      <c r="J19" s="1"/>
      <c r="K19" s="1"/>
      <c r="L19" s="1"/>
    </row>
    <row r="20" spans="1:14" customFormat="1" ht="26.25" customHeight="1" x14ac:dyDescent="0.5">
      <c r="A20" s="364" t="s">
        <v>13</v>
      </c>
      <c r="B20" s="651" t="s">
        <v>128</v>
      </c>
      <c r="C20" s="651"/>
      <c r="D20" s="366"/>
      <c r="E20" s="366"/>
      <c r="F20" s="366"/>
      <c r="G20" s="366"/>
      <c r="H20" s="366"/>
      <c r="I20" s="1"/>
      <c r="J20" s="1"/>
      <c r="K20" s="1"/>
      <c r="L20" s="1"/>
    </row>
    <row r="21" spans="1:14" customFormat="1" ht="26.25" customHeight="1" x14ac:dyDescent="0.5">
      <c r="A21" s="364" t="s">
        <v>14</v>
      </c>
      <c r="B21" s="651" t="s">
        <v>129</v>
      </c>
      <c r="C21" s="651"/>
      <c r="D21" s="651"/>
      <c r="E21" s="651"/>
      <c r="F21" s="651"/>
      <c r="G21" s="651"/>
      <c r="H21" s="651"/>
      <c r="I21" s="368"/>
      <c r="J21" s="1"/>
      <c r="K21" s="1"/>
      <c r="L21" s="1"/>
    </row>
    <row r="22" spans="1:14" customFormat="1" ht="26.25" customHeight="1" x14ac:dyDescent="0.5">
      <c r="A22" s="364" t="s">
        <v>15</v>
      </c>
      <c r="B22" s="369">
        <v>42495.458773148152</v>
      </c>
      <c r="C22" s="366"/>
      <c r="D22" s="366"/>
      <c r="E22" s="366"/>
      <c r="F22" s="366"/>
      <c r="G22" s="366"/>
      <c r="H22" s="366"/>
      <c r="I22" s="1"/>
      <c r="J22" s="1"/>
      <c r="K22" s="1"/>
      <c r="L22" s="1"/>
    </row>
    <row r="23" spans="1:14" customFormat="1" ht="26.25" customHeight="1" x14ac:dyDescent="0.5">
      <c r="A23" s="364" t="s">
        <v>16</v>
      </c>
      <c r="B23" s="369">
        <v>42500.458773148152</v>
      </c>
      <c r="C23" s="366"/>
      <c r="D23" s="366"/>
      <c r="E23" s="366"/>
      <c r="F23" s="366"/>
      <c r="G23" s="366"/>
      <c r="H23" s="366"/>
      <c r="I23" s="1"/>
      <c r="J23" s="1"/>
      <c r="K23" s="1"/>
      <c r="L23" s="1"/>
    </row>
    <row r="24" spans="1:14" customFormat="1" ht="18" x14ac:dyDescent="0.35">
      <c r="A24" s="364"/>
      <c r="B24" s="370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71" t="s">
        <v>0</v>
      </c>
      <c r="B25" s="370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72" t="s">
        <v>1</v>
      </c>
      <c r="B26" s="653" t="s">
        <v>102</v>
      </c>
      <c r="C26" s="488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73" t="s">
        <v>25</v>
      </c>
      <c r="B27" s="654" t="s">
        <v>103</v>
      </c>
      <c r="C27" s="488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x14ac:dyDescent="0.45">
      <c r="A28" s="373" t="s">
        <v>2</v>
      </c>
      <c r="B28" s="374">
        <v>101.74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79" customFormat="1" ht="27" customHeight="1" x14ac:dyDescent="0.5">
      <c r="A29" s="373" t="s">
        <v>26</v>
      </c>
      <c r="B29" s="375">
        <v>0</v>
      </c>
      <c r="C29" s="716" t="s">
        <v>27</v>
      </c>
      <c r="D29" s="717"/>
      <c r="E29" s="717"/>
      <c r="F29" s="717"/>
      <c r="G29" s="718"/>
      <c r="H29" s="488"/>
      <c r="I29" s="376"/>
      <c r="J29" s="376"/>
      <c r="K29" s="376"/>
      <c r="L29" s="656"/>
    </row>
    <row r="30" spans="1:14" s="579" customFormat="1" ht="19.5" customHeight="1" x14ac:dyDescent="0.35">
      <c r="A30" s="373" t="s">
        <v>28</v>
      </c>
      <c r="B30" s="377">
        <f>B28-B29</f>
        <v>101.74</v>
      </c>
      <c r="C30" s="378"/>
      <c r="D30" s="378"/>
      <c r="E30" s="378"/>
      <c r="F30" s="378"/>
      <c r="G30" s="379"/>
      <c r="H30" s="488"/>
      <c r="I30" s="376"/>
      <c r="J30" s="376"/>
      <c r="K30" s="376"/>
      <c r="L30" s="656"/>
    </row>
    <row r="31" spans="1:14" s="579" customFormat="1" ht="27" customHeight="1" x14ac:dyDescent="0.45">
      <c r="A31" s="373" t="s">
        <v>29</v>
      </c>
      <c r="B31" s="380">
        <v>1</v>
      </c>
      <c r="C31" s="719" t="s">
        <v>30</v>
      </c>
      <c r="D31" s="720"/>
      <c r="E31" s="720"/>
      <c r="F31" s="720"/>
      <c r="G31" s="720"/>
      <c r="H31" s="721"/>
      <c r="I31" s="376"/>
      <c r="J31" s="376"/>
      <c r="K31" s="376"/>
      <c r="L31" s="656"/>
    </row>
    <row r="32" spans="1:14" s="579" customFormat="1" ht="27" customHeight="1" x14ac:dyDescent="0.45">
      <c r="A32" s="373" t="s">
        <v>31</v>
      </c>
      <c r="B32" s="380">
        <v>1</v>
      </c>
      <c r="C32" s="719" t="s">
        <v>32</v>
      </c>
      <c r="D32" s="720"/>
      <c r="E32" s="720"/>
      <c r="F32" s="720"/>
      <c r="G32" s="720"/>
      <c r="H32" s="721"/>
      <c r="I32" s="376"/>
      <c r="J32" s="376"/>
      <c r="K32" s="376"/>
      <c r="L32" s="580"/>
      <c r="M32" s="580"/>
      <c r="N32" s="581"/>
    </row>
    <row r="33" spans="1:14" s="579" customFormat="1" ht="17.25" customHeight="1" x14ac:dyDescent="0.35">
      <c r="A33" s="373"/>
      <c r="B33" s="381"/>
      <c r="C33" s="382"/>
      <c r="D33" s="382"/>
      <c r="E33" s="382"/>
      <c r="F33" s="382"/>
      <c r="G33" s="382"/>
      <c r="H33" s="382"/>
      <c r="I33" s="376"/>
      <c r="J33" s="376"/>
      <c r="K33" s="376"/>
      <c r="L33" s="580"/>
      <c r="M33" s="580"/>
      <c r="N33" s="581"/>
    </row>
    <row r="34" spans="1:14" s="579" customFormat="1" ht="18" x14ac:dyDescent="0.35">
      <c r="A34" s="373" t="s">
        <v>33</v>
      </c>
      <c r="B34" s="383">
        <f>B31/B32</f>
        <v>1</v>
      </c>
      <c r="C34" s="363" t="s">
        <v>34</v>
      </c>
      <c r="D34" s="363"/>
      <c r="E34" s="363"/>
      <c r="F34" s="363"/>
      <c r="G34" s="363"/>
      <c r="I34" s="376"/>
      <c r="J34" s="376"/>
      <c r="K34" s="376"/>
      <c r="L34" s="580"/>
      <c r="M34" s="580"/>
      <c r="N34" s="581"/>
    </row>
    <row r="35" spans="1:14" s="579" customFormat="1" ht="19.5" customHeight="1" x14ac:dyDescent="0.35">
      <c r="A35" s="373"/>
      <c r="B35" s="377"/>
      <c r="C35" s="2"/>
      <c r="D35" s="2"/>
      <c r="E35" s="2"/>
      <c r="F35" s="2"/>
      <c r="G35" s="363"/>
      <c r="I35" s="376"/>
      <c r="J35" s="376"/>
      <c r="K35" s="376"/>
      <c r="L35" s="580"/>
      <c r="M35" s="580"/>
      <c r="N35" s="581"/>
    </row>
    <row r="36" spans="1:14" s="579" customFormat="1" ht="27" customHeight="1" x14ac:dyDescent="0.45">
      <c r="A36" s="384" t="s">
        <v>35</v>
      </c>
      <c r="B36" s="385">
        <v>25</v>
      </c>
      <c r="C36" s="363"/>
      <c r="D36" s="722" t="s">
        <v>36</v>
      </c>
      <c r="E36" s="744"/>
      <c r="F36" s="722" t="s">
        <v>37</v>
      </c>
      <c r="G36" s="723"/>
      <c r="H36" s="488"/>
      <c r="I36" s="2"/>
      <c r="J36" s="376"/>
      <c r="K36" s="376"/>
      <c r="L36" s="580"/>
      <c r="M36" s="580"/>
      <c r="N36" s="581"/>
    </row>
    <row r="37" spans="1:14" s="579" customFormat="1" ht="27" customHeight="1" x14ac:dyDescent="0.45">
      <c r="A37" s="386" t="s">
        <v>38</v>
      </c>
      <c r="B37" s="387">
        <v>5</v>
      </c>
      <c r="C37" s="388" t="s">
        <v>39</v>
      </c>
      <c r="D37" s="389" t="s">
        <v>40</v>
      </c>
      <c r="E37" s="390" t="s">
        <v>41</v>
      </c>
      <c r="F37" s="389" t="s">
        <v>40</v>
      </c>
      <c r="G37" s="391" t="s">
        <v>41</v>
      </c>
      <c r="H37" s="488"/>
      <c r="I37" s="392" t="s">
        <v>42</v>
      </c>
      <c r="J37" s="376"/>
      <c r="K37" s="376"/>
      <c r="L37" s="580"/>
      <c r="M37" s="580"/>
      <c r="N37" s="581"/>
    </row>
    <row r="38" spans="1:14" s="579" customFormat="1" ht="26.25" customHeight="1" x14ac:dyDescent="0.45">
      <c r="A38" s="386" t="s">
        <v>43</v>
      </c>
      <c r="B38" s="387">
        <v>50</v>
      </c>
      <c r="C38" s="393">
        <v>1</v>
      </c>
      <c r="D38" s="394">
        <v>19226668</v>
      </c>
      <c r="E38" s="395">
        <f>IF(ISBLANK(D38),"-",$D$48/$D$45*D38)</f>
        <v>16743513.42749566</v>
      </c>
      <c r="F38" s="394">
        <v>22306491</v>
      </c>
      <c r="G38" s="396">
        <f>IF(ISBLANK(F38),"-",$D$48/$F$45*F38)</f>
        <v>16961059.361843482</v>
      </c>
      <c r="H38" s="488"/>
      <c r="I38" s="397"/>
      <c r="J38" s="376"/>
      <c r="K38" s="376"/>
      <c r="L38" s="580"/>
      <c r="M38" s="580"/>
      <c r="N38" s="581"/>
    </row>
    <row r="39" spans="1:14" s="579" customFormat="1" ht="26.25" customHeight="1" x14ac:dyDescent="0.45">
      <c r="A39" s="386" t="s">
        <v>44</v>
      </c>
      <c r="B39" s="387">
        <v>1</v>
      </c>
      <c r="C39" s="398">
        <v>2</v>
      </c>
      <c r="D39" s="399">
        <v>19119356</v>
      </c>
      <c r="E39" s="400">
        <f>IF(ISBLANK(D39),"-",$D$48/$D$45*D39)</f>
        <v>16650060.941972354</v>
      </c>
      <c r="F39" s="399">
        <v>22233509</v>
      </c>
      <c r="G39" s="401">
        <f>IF(ISBLANK(F39),"-",$D$48/$F$45*F39)</f>
        <v>16905566.454673722</v>
      </c>
      <c r="H39" s="488"/>
      <c r="I39" s="738">
        <f>ABS((F43/D43*D42)-F42)/D42</f>
        <v>1.4071320041421474E-2</v>
      </c>
      <c r="J39" s="376"/>
      <c r="K39" s="376"/>
      <c r="L39" s="580"/>
      <c r="M39" s="580"/>
      <c r="N39" s="581"/>
    </row>
    <row r="40" spans="1:14" ht="26.25" customHeight="1" x14ac:dyDescent="0.45">
      <c r="A40" s="386" t="s">
        <v>45</v>
      </c>
      <c r="B40" s="387">
        <v>1</v>
      </c>
      <c r="C40" s="398">
        <v>3</v>
      </c>
      <c r="D40" s="399">
        <v>19138415</v>
      </c>
      <c r="E40" s="400">
        <f>IF(ISBLANK(D40),"-",$D$48/$D$45*D40)</f>
        <v>16666658.441987159</v>
      </c>
      <c r="F40" s="399">
        <v>22106051</v>
      </c>
      <c r="G40" s="401">
        <f>IF(ISBLANK(F40),"-",$D$48/$F$45*F40)</f>
        <v>16808651.942026176</v>
      </c>
      <c r="I40" s="738"/>
      <c r="L40" s="580"/>
      <c r="M40" s="580"/>
      <c r="N40" s="659"/>
    </row>
    <row r="41" spans="1:14" ht="27" customHeight="1" x14ac:dyDescent="0.45">
      <c r="A41" s="386" t="s">
        <v>46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580"/>
      <c r="M41" s="580"/>
      <c r="N41" s="659"/>
    </row>
    <row r="42" spans="1:14" ht="27" customHeight="1" x14ac:dyDescent="0.45">
      <c r="A42" s="386" t="s">
        <v>47</v>
      </c>
      <c r="B42" s="387">
        <v>1</v>
      </c>
      <c r="C42" s="417" t="s">
        <v>48</v>
      </c>
      <c r="D42" s="408">
        <f>AVERAGE(D38:D41)</f>
        <v>19161479.666666668</v>
      </c>
      <c r="E42" s="409">
        <f>AVERAGE(E38:E41)</f>
        <v>16686744.270485058</v>
      </c>
      <c r="F42" s="408">
        <f>AVERAGE(F38:F41)</f>
        <v>22215350.333333332</v>
      </c>
      <c r="G42" s="410">
        <f>AVERAGE(G38:G41)</f>
        <v>16891759.252847794</v>
      </c>
      <c r="H42" s="411"/>
    </row>
    <row r="43" spans="1:14" ht="26.25" customHeight="1" x14ac:dyDescent="0.45">
      <c r="A43" s="386" t="s">
        <v>49</v>
      </c>
      <c r="B43" s="387">
        <v>1</v>
      </c>
      <c r="C43" s="412" t="s">
        <v>50</v>
      </c>
      <c r="D43" s="413">
        <v>16.93</v>
      </c>
      <c r="E43" s="402"/>
      <c r="F43" s="655">
        <v>19.39</v>
      </c>
      <c r="H43" s="411"/>
    </row>
    <row r="44" spans="1:14" ht="26.25" customHeight="1" x14ac:dyDescent="0.45">
      <c r="A44" s="386" t="s">
        <v>51</v>
      </c>
      <c r="B44" s="387">
        <v>1</v>
      </c>
      <c r="C44" s="414" t="s">
        <v>52</v>
      </c>
      <c r="D44" s="415">
        <f>D43*$B$34</f>
        <v>16.93</v>
      </c>
      <c r="E44" s="416"/>
      <c r="F44" s="415">
        <f>F43*$B$34</f>
        <v>19.39</v>
      </c>
      <c r="H44" s="411"/>
    </row>
    <row r="45" spans="1:14" ht="19.5" customHeight="1" x14ac:dyDescent="0.35">
      <c r="A45" s="386" t="s">
        <v>53</v>
      </c>
      <c r="B45" s="417">
        <f>(B44/B43)*(B42/B41)*(B40/B39)*(B38/B37)*B36</f>
        <v>250</v>
      </c>
      <c r="C45" s="414" t="s">
        <v>54</v>
      </c>
      <c r="D45" s="418">
        <f>D44*$B$30/100</f>
        <v>17.224581999999998</v>
      </c>
      <c r="E45" s="419"/>
      <c r="F45" s="418">
        <f>F44*$B$30/100</f>
        <v>19.727385999999999</v>
      </c>
      <c r="H45" s="411"/>
    </row>
    <row r="46" spans="1:14" ht="19.5" customHeight="1" x14ac:dyDescent="0.35">
      <c r="A46" s="724" t="s">
        <v>55</v>
      </c>
      <c r="B46" s="736"/>
      <c r="C46" s="414" t="s">
        <v>56</v>
      </c>
      <c r="D46" s="420">
        <f>D45/$B$45</f>
        <v>6.8898327999999995E-2</v>
      </c>
      <c r="E46" s="421"/>
      <c r="F46" s="422">
        <f>F45/$B$45</f>
        <v>7.8909543999999998E-2</v>
      </c>
      <c r="H46" s="411"/>
    </row>
    <row r="47" spans="1:14" ht="27" customHeight="1" x14ac:dyDescent="0.45">
      <c r="A47" s="726"/>
      <c r="B47" s="737"/>
      <c r="C47" s="423" t="s">
        <v>57</v>
      </c>
      <c r="D47" s="424">
        <v>0.06</v>
      </c>
      <c r="E47" s="425"/>
      <c r="F47" s="421"/>
      <c r="H47" s="411"/>
    </row>
    <row r="48" spans="1:14" ht="18" x14ac:dyDescent="0.35">
      <c r="C48" s="426" t="s">
        <v>58</v>
      </c>
      <c r="D48" s="418">
        <f>D47*$B$45</f>
        <v>15</v>
      </c>
      <c r="F48" s="427"/>
      <c r="H48" s="411"/>
    </row>
    <row r="49" spans="1:12" ht="19.5" customHeight="1" x14ac:dyDescent="0.35">
      <c r="C49" s="428" t="s">
        <v>59</v>
      </c>
      <c r="D49" s="429">
        <f>D48/B34</f>
        <v>15</v>
      </c>
      <c r="F49" s="427"/>
      <c r="H49" s="411"/>
    </row>
    <row r="50" spans="1:12" ht="18" x14ac:dyDescent="0.35">
      <c r="C50" s="384" t="s">
        <v>60</v>
      </c>
      <c r="D50" s="430">
        <f>AVERAGE(E38:E41,G38:G41)</f>
        <v>16789251.761666428</v>
      </c>
      <c r="F50" s="431"/>
      <c r="H50" s="411"/>
    </row>
    <row r="51" spans="1:12" ht="18" x14ac:dyDescent="0.35">
      <c r="C51" s="386" t="s">
        <v>61</v>
      </c>
      <c r="D51" s="432">
        <f>STDEV(E38:E41,G38:G41)/D50</f>
        <v>7.5302153054457692E-3</v>
      </c>
      <c r="F51" s="431"/>
      <c r="H51" s="411"/>
    </row>
    <row r="52" spans="1:12" ht="19.5" customHeight="1" x14ac:dyDescent="0.35">
      <c r="C52" s="433" t="s">
        <v>3</v>
      </c>
      <c r="D52" s="434">
        <f>COUNT(E38:E41,G38:G41)</f>
        <v>6</v>
      </c>
      <c r="F52" s="431"/>
    </row>
    <row r="53" spans="1:12" x14ac:dyDescent="0.3">
      <c r="G53" s="658">
        <f>F70/D50*D47*B68*B69/D68/300</f>
        <v>1.0036831125649186</v>
      </c>
    </row>
    <row r="54" spans="1:12" ht="18" x14ac:dyDescent="0.35">
      <c r="A54" s="435" t="s">
        <v>0</v>
      </c>
      <c r="B54" s="436" t="s">
        <v>62</v>
      </c>
      <c r="G54" s="657"/>
    </row>
    <row r="55" spans="1:12" ht="18" x14ac:dyDescent="0.35">
      <c r="A55" s="363" t="s">
        <v>63</v>
      </c>
      <c r="B55" s="437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8" t="s">
        <v>64</v>
      </c>
      <c r="B56" s="439">
        <v>300</v>
      </c>
      <c r="C56" s="363" t="str">
        <f>B20</f>
        <v>Efavirenz 600 mg, Lamivudine 300 mg and Tenofovir Disoproxil Fumarate 300 mg</v>
      </c>
      <c r="H56" s="440"/>
    </row>
    <row r="57" spans="1:12" ht="18" x14ac:dyDescent="0.35">
      <c r="A57" s="437" t="s">
        <v>137</v>
      </c>
      <c r="B57" s="696">
        <f>'Uniformity '!C44</f>
        <v>1890.8524999999997</v>
      </c>
      <c r="H57" s="440"/>
    </row>
    <row r="58" spans="1:12" ht="19.5" customHeight="1" x14ac:dyDescent="0.35">
      <c r="H58" s="440"/>
    </row>
    <row r="59" spans="1:12" s="579" customFormat="1" ht="27" customHeight="1" x14ac:dyDescent="0.45">
      <c r="A59" s="384" t="s">
        <v>65</v>
      </c>
      <c r="B59" s="385">
        <v>200</v>
      </c>
      <c r="C59" s="363"/>
      <c r="D59" s="441" t="s">
        <v>66</v>
      </c>
      <c r="E59" s="442" t="s">
        <v>39</v>
      </c>
      <c r="F59" s="442" t="s">
        <v>40</v>
      </c>
      <c r="G59" s="442" t="s">
        <v>67</v>
      </c>
      <c r="H59" s="388" t="s">
        <v>68</v>
      </c>
      <c r="I59" s="2"/>
      <c r="J59" s="488"/>
      <c r="L59" s="656"/>
    </row>
    <row r="60" spans="1:12" s="579" customFormat="1" ht="26.25" customHeight="1" x14ac:dyDescent="0.45">
      <c r="A60" s="386" t="s">
        <v>69</v>
      </c>
      <c r="B60" s="387">
        <v>5</v>
      </c>
      <c r="C60" s="728" t="s">
        <v>70</v>
      </c>
      <c r="D60" s="731">
        <v>1891.31</v>
      </c>
      <c r="E60" s="443">
        <v>1</v>
      </c>
      <c r="F60" s="444">
        <v>17471680</v>
      </c>
      <c r="G60" s="529">
        <f>IF(ISBLANK(F60),"-",(F60/$D$50*$D$47*$B$68)*($B$57/$D$60))</f>
        <v>312.11850155289756</v>
      </c>
      <c r="H60" s="445">
        <f t="shared" ref="H60:H71" si="0">IF(ISBLANK(F60),"-",G60/$B$56)</f>
        <v>1.0403950051763251</v>
      </c>
      <c r="I60" s="2"/>
      <c r="J60" s="488"/>
      <c r="L60" s="656"/>
    </row>
    <row r="61" spans="1:12" s="579" customFormat="1" ht="26.25" customHeight="1" x14ac:dyDescent="0.45">
      <c r="A61" s="386" t="s">
        <v>71</v>
      </c>
      <c r="B61" s="387">
        <v>50</v>
      </c>
      <c r="C61" s="729"/>
      <c r="D61" s="732"/>
      <c r="E61" s="446">
        <v>2</v>
      </c>
      <c r="F61" s="399">
        <v>17233802</v>
      </c>
      <c r="G61" s="530">
        <f>IF(ISBLANK(F61),"-",(F61/$D$50*$D$47*$B$68)*($B$57/$D$60))</f>
        <v>307.86898891802792</v>
      </c>
      <c r="H61" s="447">
        <f t="shared" si="0"/>
        <v>1.0262299630600931</v>
      </c>
      <c r="I61" s="2"/>
      <c r="J61" s="488"/>
      <c r="L61" s="656"/>
    </row>
    <row r="62" spans="1:12" s="579" customFormat="1" ht="26.25" customHeight="1" x14ac:dyDescent="0.45">
      <c r="A62" s="386" t="s">
        <v>72</v>
      </c>
      <c r="B62" s="387">
        <v>10</v>
      </c>
      <c r="C62" s="729"/>
      <c r="D62" s="732"/>
      <c r="E62" s="446">
        <v>3</v>
      </c>
      <c r="F62" s="448">
        <v>17282830</v>
      </c>
      <c r="G62" s="530">
        <f>IF(ISBLANK(F62),"-",(F62/$D$50*$D$47*$B$68)*($B$57/$D$60))</f>
        <v>308.74483748520259</v>
      </c>
      <c r="H62" s="447">
        <f t="shared" si="0"/>
        <v>1.0291494582840086</v>
      </c>
      <c r="I62" s="2"/>
      <c r="J62" s="488"/>
      <c r="L62" s="656"/>
    </row>
    <row r="63" spans="1:12" ht="27" customHeight="1" x14ac:dyDescent="0.45">
      <c r="A63" s="386" t="s">
        <v>73</v>
      </c>
      <c r="B63" s="387">
        <v>25</v>
      </c>
      <c r="C63" s="730"/>
      <c r="D63" s="733"/>
      <c r="E63" s="449">
        <v>4</v>
      </c>
      <c r="F63" s="450"/>
      <c r="G63" s="530" t="str">
        <f>IF(ISBLANK(F63),"-",(F63/$D$50*$D$47*$B$68)*($B$57/$D$60))</f>
        <v>-</v>
      </c>
      <c r="H63" s="447" t="str">
        <f t="shared" si="0"/>
        <v>-</v>
      </c>
    </row>
    <row r="64" spans="1:12" ht="26.25" customHeight="1" x14ac:dyDescent="0.45">
      <c r="A64" s="386" t="s">
        <v>74</v>
      </c>
      <c r="B64" s="387">
        <v>1</v>
      </c>
      <c r="C64" s="728" t="s">
        <v>75</v>
      </c>
      <c r="D64" s="731">
        <v>1887.82</v>
      </c>
      <c r="E64" s="443">
        <v>1</v>
      </c>
      <c r="F64" s="444">
        <v>17099018</v>
      </c>
      <c r="G64" s="531">
        <f>IF(ISBLANK(F64),"-",(F64/$D$50*$D$47*$B$68)*($B$57/$D$64))</f>
        <v>306.02587751601749</v>
      </c>
      <c r="H64" s="451">
        <f t="shared" si="0"/>
        <v>1.020086258386725</v>
      </c>
    </row>
    <row r="65" spans="1:8" ht="26.25" customHeight="1" x14ac:dyDescent="0.45">
      <c r="A65" s="386" t="s">
        <v>76</v>
      </c>
      <c r="B65" s="387">
        <v>1</v>
      </c>
      <c r="C65" s="729"/>
      <c r="D65" s="732"/>
      <c r="E65" s="446">
        <v>2</v>
      </c>
      <c r="F65" s="399">
        <v>16884953</v>
      </c>
      <c r="G65" s="532">
        <f>IF(ISBLANK(F65),"-",(F65/$D$50*$D$47*$B$68)*($B$57/$D$64))</f>
        <v>302.19469671543197</v>
      </c>
      <c r="H65" s="452">
        <f t="shared" si="0"/>
        <v>1.0073156557181067</v>
      </c>
    </row>
    <row r="66" spans="1:8" ht="26.25" customHeight="1" x14ac:dyDescent="0.45">
      <c r="A66" s="386" t="s">
        <v>77</v>
      </c>
      <c r="B66" s="387">
        <v>1</v>
      </c>
      <c r="C66" s="729"/>
      <c r="D66" s="732"/>
      <c r="E66" s="446">
        <v>3</v>
      </c>
      <c r="F66" s="399">
        <v>16930693</v>
      </c>
      <c r="G66" s="532">
        <f>IF(ISBLANK(F66),"-",(F66/$D$50*$D$47*$B$68)*($B$57/$D$64))</f>
        <v>303.01331820805694</v>
      </c>
      <c r="H66" s="452">
        <f t="shared" si="0"/>
        <v>1.0100443940268564</v>
      </c>
    </row>
    <row r="67" spans="1:8" ht="27" customHeight="1" x14ac:dyDescent="0.45">
      <c r="A67" s="386" t="s">
        <v>78</v>
      </c>
      <c r="B67" s="387">
        <v>1</v>
      </c>
      <c r="C67" s="730"/>
      <c r="D67" s="733"/>
      <c r="E67" s="449">
        <v>4</v>
      </c>
      <c r="F67" s="450"/>
      <c r="G67" s="533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5">
      <c r="A68" s="386" t="s">
        <v>79</v>
      </c>
      <c r="B68" s="454">
        <f>(B67/B66)*(B65/B64)*(B63/B62)*(B61/B60)*B59</f>
        <v>5000</v>
      </c>
      <c r="C68" s="728" t="s">
        <v>80</v>
      </c>
      <c r="D68" s="731">
        <v>1889.91</v>
      </c>
      <c r="E68" s="443">
        <v>1</v>
      </c>
      <c r="F68" s="444">
        <v>16984122</v>
      </c>
      <c r="G68" s="531">
        <f>IF(ISBLANK(F68),"-",(F68/$D$50*$D$47*$B$68)*($B$57/$D$68))</f>
        <v>303.63340022146656</v>
      </c>
      <c r="H68" s="447">
        <f t="shared" si="0"/>
        <v>1.0121113340715553</v>
      </c>
    </row>
    <row r="69" spans="1:8" ht="27" customHeight="1" x14ac:dyDescent="0.5">
      <c r="A69" s="433" t="s">
        <v>81</v>
      </c>
      <c r="B69" s="455">
        <f>(D47*B68)/B56*B57</f>
        <v>1890.8524999999997</v>
      </c>
      <c r="C69" s="729"/>
      <c r="D69" s="732"/>
      <c r="E69" s="446">
        <v>2</v>
      </c>
      <c r="F69" s="399">
        <v>16986183</v>
      </c>
      <c r="G69" s="532">
        <f>IF(ISBLANK(F69),"-",(F69/$D$50*$D$47*$B$68)*($B$57/$D$68))</f>
        <v>303.67024571974179</v>
      </c>
      <c r="H69" s="447">
        <f t="shared" si="0"/>
        <v>1.0122341523991394</v>
      </c>
    </row>
    <row r="70" spans="1:8" ht="26.25" customHeight="1" x14ac:dyDescent="0.45">
      <c r="A70" s="740" t="s">
        <v>55</v>
      </c>
      <c r="B70" s="741"/>
      <c r="C70" s="729"/>
      <c r="D70" s="732"/>
      <c r="E70" s="446">
        <v>3</v>
      </c>
      <c r="F70" s="399">
        <v>16842689</v>
      </c>
      <c r="G70" s="532">
        <f>IF(ISBLANK(F70),"-",(F70/$D$50*$D$47*$B$68)*($B$57/$D$68))</f>
        <v>301.10493376947556</v>
      </c>
      <c r="H70" s="447">
        <f t="shared" si="0"/>
        <v>1.0036831125649186</v>
      </c>
    </row>
    <row r="71" spans="1:8" ht="27" customHeight="1" x14ac:dyDescent="0.45">
      <c r="A71" s="742"/>
      <c r="B71" s="743"/>
      <c r="C71" s="739"/>
      <c r="D71" s="733"/>
      <c r="E71" s="449">
        <v>4</v>
      </c>
      <c r="F71" s="450"/>
      <c r="G71" s="53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5">
      <c r="A72" s="457"/>
      <c r="B72" s="457"/>
      <c r="C72" s="457"/>
      <c r="D72" s="457"/>
      <c r="E72" s="457"/>
      <c r="F72" s="459" t="s">
        <v>48</v>
      </c>
      <c r="G72" s="538">
        <f>AVERAGE(G60:G71)</f>
        <v>305.37497778959096</v>
      </c>
      <c r="H72" s="460">
        <f>AVERAGE(H60:H71)</f>
        <v>1.0179165926319695</v>
      </c>
    </row>
    <row r="73" spans="1:8" ht="26.25" customHeight="1" x14ac:dyDescent="0.45">
      <c r="C73" s="457"/>
      <c r="D73" s="457"/>
      <c r="E73" s="457"/>
      <c r="F73" s="461" t="s">
        <v>61</v>
      </c>
      <c r="G73" s="534">
        <f>STDEV(G60:G71)/G72</f>
        <v>1.1769378874756729E-2</v>
      </c>
      <c r="H73" s="460">
        <f>STDEV(H60:H71)/H72</f>
        <v>1.1769378874756686E-2</v>
      </c>
    </row>
    <row r="74" spans="1:8" ht="27" customHeight="1" x14ac:dyDescent="0.45">
      <c r="A74" s="457"/>
      <c r="B74" s="457"/>
      <c r="C74" s="458"/>
      <c r="D74" s="458"/>
      <c r="E74" s="462"/>
      <c r="F74" s="463" t="s">
        <v>3</v>
      </c>
      <c r="G74" s="464">
        <f>COUNT(G60:G71)</f>
        <v>9</v>
      </c>
      <c r="H74" s="464">
        <f>COUNT(H60:H71)</f>
        <v>9</v>
      </c>
    </row>
    <row r="76" spans="1:8" ht="26.25" customHeight="1" x14ac:dyDescent="0.45">
      <c r="A76" s="372" t="s">
        <v>82</v>
      </c>
      <c r="B76" s="465" t="s">
        <v>83</v>
      </c>
      <c r="C76" s="714" t="str">
        <f>B26</f>
        <v>LAMIVUDINE</v>
      </c>
      <c r="D76" s="714"/>
      <c r="E76" s="466" t="s">
        <v>84</v>
      </c>
      <c r="F76" s="466"/>
      <c r="G76" s="467">
        <f>H72</f>
        <v>1.0179165926319695</v>
      </c>
      <c r="H76" s="468"/>
    </row>
    <row r="77" spans="1:8" ht="18" x14ac:dyDescent="0.35">
      <c r="A77" s="371" t="s">
        <v>85</v>
      </c>
      <c r="B77" s="371" t="s">
        <v>86</v>
      </c>
    </row>
    <row r="78" spans="1:8" ht="18" x14ac:dyDescent="0.35">
      <c r="A78" s="371"/>
      <c r="B78" s="371"/>
    </row>
    <row r="79" spans="1:8" ht="26.25" customHeight="1" x14ac:dyDescent="0.45">
      <c r="A79" s="372" t="s">
        <v>1</v>
      </c>
      <c r="B79" s="469" t="str">
        <f>B26</f>
        <v>LAMIVUDINE</v>
      </c>
      <c r="C79" s="488"/>
    </row>
    <row r="80" spans="1:8" ht="26.25" customHeight="1" x14ac:dyDescent="0.45">
      <c r="A80" s="373" t="s">
        <v>25</v>
      </c>
      <c r="B80" s="469" t="str">
        <f>B27</f>
        <v>L3-9</v>
      </c>
      <c r="C80" s="488"/>
    </row>
    <row r="81" spans="1:12" ht="27" customHeight="1" x14ac:dyDescent="0.45">
      <c r="A81" s="373" t="s">
        <v>2</v>
      </c>
      <c r="B81" s="469">
        <f>B28</f>
        <v>101.74</v>
      </c>
    </row>
    <row r="82" spans="1:12" s="579" customFormat="1" ht="27" customHeight="1" x14ac:dyDescent="0.5">
      <c r="A82" s="373" t="s">
        <v>26</v>
      </c>
      <c r="B82" s="375">
        <v>0</v>
      </c>
      <c r="C82" s="716" t="s">
        <v>27</v>
      </c>
      <c r="D82" s="717"/>
      <c r="E82" s="717"/>
      <c r="F82" s="717"/>
      <c r="G82" s="718"/>
      <c r="H82" s="2"/>
      <c r="I82" s="376"/>
      <c r="J82" s="376"/>
      <c r="K82" s="376"/>
      <c r="L82" s="656"/>
    </row>
    <row r="83" spans="1:12" s="579" customFormat="1" ht="19.5" customHeight="1" x14ac:dyDescent="0.35">
      <c r="A83" s="373" t="s">
        <v>28</v>
      </c>
      <c r="B83" s="377">
        <f>B81-B82</f>
        <v>101.74</v>
      </c>
      <c r="C83" s="378"/>
      <c r="D83" s="378"/>
      <c r="E83" s="378"/>
      <c r="F83" s="378"/>
      <c r="G83" s="379"/>
      <c r="H83" s="2"/>
      <c r="I83" s="376"/>
      <c r="J83" s="376"/>
      <c r="K83" s="376"/>
      <c r="L83" s="656"/>
    </row>
    <row r="84" spans="1:12" s="579" customFormat="1" ht="27" customHeight="1" x14ac:dyDescent="0.45">
      <c r="A84" s="373" t="s">
        <v>29</v>
      </c>
      <c r="B84" s="380">
        <v>1</v>
      </c>
      <c r="C84" s="719" t="s">
        <v>87</v>
      </c>
      <c r="D84" s="720"/>
      <c r="E84" s="720"/>
      <c r="F84" s="720"/>
      <c r="G84" s="720"/>
      <c r="H84" s="721"/>
      <c r="I84" s="376"/>
      <c r="J84" s="376"/>
      <c r="K84" s="376"/>
      <c r="L84" s="656"/>
    </row>
    <row r="85" spans="1:12" s="579" customFormat="1" ht="27" customHeight="1" x14ac:dyDescent="0.45">
      <c r="A85" s="373" t="s">
        <v>31</v>
      </c>
      <c r="B85" s="380">
        <v>1</v>
      </c>
      <c r="C85" s="719" t="s">
        <v>88</v>
      </c>
      <c r="D85" s="720"/>
      <c r="E85" s="720"/>
      <c r="F85" s="720"/>
      <c r="G85" s="720"/>
      <c r="H85" s="721"/>
      <c r="I85" s="376"/>
      <c r="J85" s="376"/>
      <c r="K85" s="376"/>
      <c r="L85" s="656"/>
    </row>
    <row r="86" spans="1:12" s="579" customFormat="1" ht="18" x14ac:dyDescent="0.35">
      <c r="A86" s="373"/>
      <c r="B86" s="381"/>
      <c r="C86" s="382"/>
      <c r="D86" s="382"/>
      <c r="E86" s="382"/>
      <c r="F86" s="382"/>
      <c r="G86" s="382"/>
      <c r="H86" s="382"/>
      <c r="I86" s="376"/>
      <c r="J86" s="376"/>
      <c r="K86" s="376"/>
      <c r="L86" s="656"/>
    </row>
    <row r="87" spans="1:12" s="579" customFormat="1" ht="18" x14ac:dyDescent="0.35">
      <c r="A87" s="373" t="s">
        <v>33</v>
      </c>
      <c r="B87" s="383">
        <f>B84/B85</f>
        <v>1</v>
      </c>
      <c r="C87" s="363" t="s">
        <v>34</v>
      </c>
      <c r="D87" s="363"/>
      <c r="E87" s="363"/>
      <c r="F87" s="363"/>
      <c r="G87" s="363"/>
      <c r="H87" s="488"/>
      <c r="I87" s="376"/>
      <c r="J87" s="376"/>
      <c r="K87" s="376"/>
      <c r="L87" s="656"/>
    </row>
    <row r="88" spans="1:12" ht="19.5" customHeight="1" x14ac:dyDescent="0.35">
      <c r="A88" s="371"/>
      <c r="B88" s="371"/>
    </row>
    <row r="89" spans="1:12" ht="27" customHeight="1" x14ac:dyDescent="0.45">
      <c r="A89" s="384" t="s">
        <v>35</v>
      </c>
      <c r="B89" s="385">
        <v>25</v>
      </c>
      <c r="D89" s="470" t="s">
        <v>36</v>
      </c>
      <c r="E89" s="471"/>
      <c r="F89" s="722" t="s">
        <v>37</v>
      </c>
      <c r="G89" s="723"/>
    </row>
    <row r="90" spans="1:12" ht="27" customHeight="1" x14ac:dyDescent="0.45">
      <c r="A90" s="386" t="s">
        <v>38</v>
      </c>
      <c r="B90" s="387">
        <v>10</v>
      </c>
      <c r="C90" s="472" t="s">
        <v>39</v>
      </c>
      <c r="D90" s="389" t="s">
        <v>40</v>
      </c>
      <c r="E90" s="390" t="s">
        <v>41</v>
      </c>
      <c r="F90" s="389" t="s">
        <v>40</v>
      </c>
      <c r="G90" s="473" t="s">
        <v>41</v>
      </c>
      <c r="I90" s="392" t="s">
        <v>42</v>
      </c>
    </row>
    <row r="91" spans="1:12" ht="26.25" customHeight="1" x14ac:dyDescent="0.45">
      <c r="A91" s="386" t="s">
        <v>43</v>
      </c>
      <c r="B91" s="387">
        <v>20</v>
      </c>
      <c r="C91" s="474">
        <v>1</v>
      </c>
      <c r="D91" s="394">
        <v>108259694</v>
      </c>
      <c r="E91" s="395">
        <f>IF(ISBLANK(D91),"-",$D$101/$D$98*D91)</f>
        <v>82316806.190135896</v>
      </c>
      <c r="F91" s="394">
        <v>95515389</v>
      </c>
      <c r="G91" s="396">
        <f>IF(ISBLANK(F91),"-",$D$101/$F$98*F91)</f>
        <v>83179425.486203387</v>
      </c>
      <c r="I91" s="397"/>
    </row>
    <row r="92" spans="1:12" ht="26.25" customHeight="1" x14ac:dyDescent="0.45">
      <c r="A92" s="386" t="s">
        <v>44</v>
      </c>
      <c r="B92" s="387">
        <v>1</v>
      </c>
      <c r="C92" s="458">
        <v>2</v>
      </c>
      <c r="D92" s="399">
        <v>108804653</v>
      </c>
      <c r="E92" s="400">
        <f>IF(ISBLANK(D92),"-",$D$101/$D$98*D92)</f>
        <v>82731173.557408974</v>
      </c>
      <c r="F92" s="399">
        <v>93477754</v>
      </c>
      <c r="G92" s="401">
        <f>IF(ISBLANK(F92),"-",$D$101/$F$98*F92)</f>
        <v>81404954.268266141</v>
      </c>
      <c r="I92" s="738">
        <f>ABS((F96/D96*D95)-F95)/D95</f>
        <v>2.4696846877093931E-3</v>
      </c>
    </row>
    <row r="93" spans="1:12" ht="26.25" customHeight="1" x14ac:dyDescent="0.45">
      <c r="A93" s="386" t="s">
        <v>45</v>
      </c>
      <c r="B93" s="387">
        <v>1</v>
      </c>
      <c r="C93" s="458">
        <v>3</v>
      </c>
      <c r="D93" s="399">
        <v>108622756</v>
      </c>
      <c r="E93" s="400">
        <f>IF(ISBLANK(D93),"-",$D$101/$D$98*D93)</f>
        <v>82592865.572762668</v>
      </c>
      <c r="F93" s="399">
        <v>94569849</v>
      </c>
      <c r="G93" s="401">
        <f>IF(ISBLANK(F93),"-",$D$101/$F$98*F93)</f>
        <v>82356003.472246826</v>
      </c>
      <c r="I93" s="738"/>
    </row>
    <row r="94" spans="1:12" ht="27" customHeight="1" x14ac:dyDescent="0.45">
      <c r="A94" s="386" t="s">
        <v>46</v>
      </c>
      <c r="B94" s="387">
        <v>1</v>
      </c>
      <c r="C94" s="475">
        <v>4</v>
      </c>
      <c r="D94" s="404"/>
      <c r="E94" s="405" t="str">
        <f>IF(ISBLANK(D94),"-",$D$101/$D$98*D94)</f>
        <v>-</v>
      </c>
      <c r="F94" s="476"/>
      <c r="G94" s="406" t="str">
        <f>IF(ISBLANK(F94),"-",$D$101/$F$98*F94)</f>
        <v>-</v>
      </c>
      <c r="I94" s="407"/>
    </row>
    <row r="95" spans="1:12" ht="27" customHeight="1" x14ac:dyDescent="0.45">
      <c r="A95" s="386" t="s">
        <v>47</v>
      </c>
      <c r="B95" s="387">
        <v>1</v>
      </c>
      <c r="C95" s="477" t="s">
        <v>48</v>
      </c>
      <c r="D95" s="478">
        <f>AVERAGE(D91:D94)</f>
        <v>108562367.66666667</v>
      </c>
      <c r="E95" s="409">
        <f>AVERAGE(E91:E94)</f>
        <v>82546948.440102518</v>
      </c>
      <c r="F95" s="479">
        <f>AVERAGE(F91:F94)</f>
        <v>94520997.333333328</v>
      </c>
      <c r="G95" s="480">
        <f>AVERAGE(G91:G94)</f>
        <v>82313461.075572118</v>
      </c>
    </row>
    <row r="96" spans="1:12" ht="26.25" customHeight="1" x14ac:dyDescent="0.45">
      <c r="A96" s="386" t="s">
        <v>49</v>
      </c>
      <c r="B96" s="374">
        <v>1</v>
      </c>
      <c r="C96" s="481" t="s">
        <v>89</v>
      </c>
      <c r="D96" s="482">
        <v>19.39</v>
      </c>
      <c r="E96" s="402"/>
      <c r="F96" s="413">
        <v>16.93</v>
      </c>
    </row>
    <row r="97" spans="1:10" ht="26.25" customHeight="1" x14ac:dyDescent="0.45">
      <c r="A97" s="386" t="s">
        <v>51</v>
      </c>
      <c r="B97" s="374">
        <v>1</v>
      </c>
      <c r="C97" s="483" t="s">
        <v>90</v>
      </c>
      <c r="D97" s="484">
        <f>D96*$B$87</f>
        <v>19.39</v>
      </c>
      <c r="E97" s="416"/>
      <c r="F97" s="415">
        <f>F96*$B$87</f>
        <v>16.93</v>
      </c>
    </row>
    <row r="98" spans="1:10" ht="19.5" customHeight="1" x14ac:dyDescent="0.35">
      <c r="A98" s="386" t="s">
        <v>53</v>
      </c>
      <c r="B98" s="485">
        <f>(B97/B96)*(B95/B94)*(B93/B92)*(B91/B90)*B89</f>
        <v>50</v>
      </c>
      <c r="C98" s="483" t="s">
        <v>91</v>
      </c>
      <c r="D98" s="486">
        <f>D97*$B$83/100</f>
        <v>19.727385999999999</v>
      </c>
      <c r="E98" s="419"/>
      <c r="F98" s="418">
        <f>F97*$B$83/100</f>
        <v>17.224581999999998</v>
      </c>
    </row>
    <row r="99" spans="1:10" ht="19.5" customHeight="1" x14ac:dyDescent="0.35">
      <c r="A99" s="724" t="s">
        <v>55</v>
      </c>
      <c r="B99" s="725"/>
      <c r="C99" s="483" t="s">
        <v>92</v>
      </c>
      <c r="D99" s="487">
        <f>D98/$B$98</f>
        <v>0.39454771999999999</v>
      </c>
      <c r="E99" s="419"/>
      <c r="F99" s="422">
        <f>F98/$B$98</f>
        <v>0.34449163999999999</v>
      </c>
      <c r="G99" s="488"/>
      <c r="H99" s="411"/>
    </row>
    <row r="100" spans="1:10" ht="19.5" customHeight="1" x14ac:dyDescent="0.35">
      <c r="A100" s="726"/>
      <c r="B100" s="727"/>
      <c r="C100" s="483" t="s">
        <v>57</v>
      </c>
      <c r="D100" s="489">
        <f>$B$56/$B$116</f>
        <v>0.3</v>
      </c>
      <c r="F100" s="427"/>
      <c r="G100" s="490"/>
      <c r="H100" s="411"/>
    </row>
    <row r="101" spans="1:10" ht="18" x14ac:dyDescent="0.35">
      <c r="C101" s="483" t="s">
        <v>58</v>
      </c>
      <c r="D101" s="484">
        <f>D100*$B$98</f>
        <v>15</v>
      </c>
      <c r="F101" s="427"/>
      <c r="G101" s="488"/>
      <c r="H101" s="411"/>
    </row>
    <row r="102" spans="1:10" ht="19.5" customHeight="1" x14ac:dyDescent="0.35">
      <c r="C102" s="491" t="s">
        <v>59</v>
      </c>
      <c r="D102" s="492">
        <f>D101/B34</f>
        <v>15</v>
      </c>
      <c r="F102" s="431"/>
      <c r="G102" s="488"/>
      <c r="H102" s="411"/>
      <c r="J102" s="493"/>
    </row>
    <row r="103" spans="1:10" ht="18" x14ac:dyDescent="0.35">
      <c r="C103" s="494" t="s">
        <v>93</v>
      </c>
      <c r="D103" s="495">
        <f>AVERAGE(E91:E94,G91:G94)</f>
        <v>82430204.75783731</v>
      </c>
      <c r="F103" s="431"/>
      <c r="G103" s="496"/>
      <c r="H103" s="411"/>
      <c r="J103" s="497"/>
    </row>
    <row r="104" spans="1:10" ht="18" x14ac:dyDescent="0.35">
      <c r="C104" s="461" t="s">
        <v>61</v>
      </c>
      <c r="D104" s="498">
        <f>STDEV(E91:E94,G91:G94)/D103</f>
        <v>7.1727210302582976E-3</v>
      </c>
      <c r="F104" s="431"/>
      <c r="G104" s="488"/>
      <c r="H104" s="411"/>
      <c r="J104" s="497"/>
    </row>
    <row r="105" spans="1:10" ht="19.5" customHeight="1" x14ac:dyDescent="0.35">
      <c r="C105" s="463" t="s">
        <v>3</v>
      </c>
      <c r="D105" s="499">
        <f>COUNT(E91:E94,G91:G94)</f>
        <v>6</v>
      </c>
      <c r="F105" s="431"/>
      <c r="G105" s="488"/>
      <c r="H105" s="411"/>
      <c r="J105" s="497"/>
    </row>
    <row r="106" spans="1:10" ht="19.5" customHeight="1" x14ac:dyDescent="0.35">
      <c r="A106" s="435"/>
      <c r="B106" s="435"/>
      <c r="C106" s="435"/>
      <c r="D106" s="435"/>
      <c r="E106" s="435"/>
    </row>
    <row r="107" spans="1:10" ht="26.25" customHeight="1" x14ac:dyDescent="0.45">
      <c r="A107" s="384" t="s">
        <v>94</v>
      </c>
      <c r="B107" s="385">
        <v>1000</v>
      </c>
      <c r="C107" s="500" t="s">
        <v>121</v>
      </c>
      <c r="D107" s="501" t="s">
        <v>40</v>
      </c>
      <c r="E107" s="502" t="s">
        <v>95</v>
      </c>
      <c r="F107" s="503" t="s">
        <v>96</v>
      </c>
      <c r="H107" s="658"/>
    </row>
    <row r="108" spans="1:10" ht="26.25" customHeight="1" x14ac:dyDescent="0.45">
      <c r="A108" s="386" t="s">
        <v>97</v>
      </c>
      <c r="B108" s="387">
        <v>1</v>
      </c>
      <c r="C108" s="504">
        <v>1</v>
      </c>
      <c r="D108" s="505">
        <v>86804646</v>
      </c>
      <c r="E108" s="535">
        <f t="shared" ref="E108:E113" si="1">IF(ISBLANK(D108),"-",D108/$D$103*$D$100*$B$116)</f>
        <v>315.92052787572425</v>
      </c>
      <c r="F108" s="506">
        <f t="shared" ref="F108:F113" si="2">IF(ISBLANK(D108), "-", E108/$B$56)</f>
        <v>1.0530684262524141</v>
      </c>
    </row>
    <row r="109" spans="1:10" ht="26.25" customHeight="1" x14ac:dyDescent="0.45">
      <c r="A109" s="386" t="s">
        <v>71</v>
      </c>
      <c r="B109" s="387">
        <v>1</v>
      </c>
      <c r="C109" s="504">
        <v>2</v>
      </c>
      <c r="D109" s="505">
        <v>85303861</v>
      </c>
      <c r="E109" s="536">
        <f t="shared" si="1"/>
        <v>310.45850699002227</v>
      </c>
      <c r="F109" s="507">
        <f t="shared" si="2"/>
        <v>1.0348616899667409</v>
      </c>
    </row>
    <row r="110" spans="1:10" ht="26.25" customHeight="1" x14ac:dyDescent="0.45">
      <c r="A110" s="386" t="s">
        <v>72</v>
      </c>
      <c r="B110" s="387">
        <v>1</v>
      </c>
      <c r="C110" s="504">
        <v>3</v>
      </c>
      <c r="D110" s="505">
        <v>84316827</v>
      </c>
      <c r="E110" s="536">
        <f t="shared" si="1"/>
        <v>306.86625338747558</v>
      </c>
      <c r="F110" s="507">
        <f t="shared" si="2"/>
        <v>1.0228875112915852</v>
      </c>
    </row>
    <row r="111" spans="1:10" ht="26.25" customHeight="1" x14ac:dyDescent="0.45">
      <c r="A111" s="386" t="s">
        <v>73</v>
      </c>
      <c r="B111" s="387">
        <v>1</v>
      </c>
      <c r="C111" s="504">
        <v>4</v>
      </c>
      <c r="D111" s="505">
        <v>83467203</v>
      </c>
      <c r="E111" s="536">
        <f t="shared" si="1"/>
        <v>303.77409559472466</v>
      </c>
      <c r="F111" s="507">
        <f t="shared" si="2"/>
        <v>1.0125803186490823</v>
      </c>
    </row>
    <row r="112" spans="1:10" ht="26.25" customHeight="1" x14ac:dyDescent="0.45">
      <c r="A112" s="386" t="s">
        <v>74</v>
      </c>
      <c r="B112" s="387">
        <v>1</v>
      </c>
      <c r="C112" s="504">
        <v>5</v>
      </c>
      <c r="D112" s="505">
        <v>83380942</v>
      </c>
      <c r="E112" s="536">
        <f t="shared" si="1"/>
        <v>303.46015363526914</v>
      </c>
      <c r="F112" s="507">
        <f t="shared" si="2"/>
        <v>1.0115338454508971</v>
      </c>
    </row>
    <row r="113" spans="1:10" ht="26.25" customHeight="1" x14ac:dyDescent="0.45">
      <c r="A113" s="386" t="s">
        <v>76</v>
      </c>
      <c r="B113" s="387">
        <v>1</v>
      </c>
      <c r="C113" s="508">
        <v>6</v>
      </c>
      <c r="D113" s="509">
        <v>83388047</v>
      </c>
      <c r="E113" s="537">
        <f t="shared" si="1"/>
        <v>303.48601187505221</v>
      </c>
      <c r="F113" s="510">
        <f t="shared" si="2"/>
        <v>1.0116200395835073</v>
      </c>
    </row>
    <row r="114" spans="1:10" ht="26.25" customHeight="1" x14ac:dyDescent="0.45">
      <c r="A114" s="386" t="s">
        <v>77</v>
      </c>
      <c r="B114" s="387">
        <v>1</v>
      </c>
      <c r="C114" s="504"/>
      <c r="D114" s="458"/>
      <c r="E114" s="362"/>
      <c r="F114" s="511"/>
    </row>
    <row r="115" spans="1:10" ht="26.25" customHeight="1" x14ac:dyDescent="0.45">
      <c r="A115" s="386" t="s">
        <v>78</v>
      </c>
      <c r="B115" s="387">
        <v>1</v>
      </c>
      <c r="C115" s="504"/>
      <c r="D115" s="512" t="s">
        <v>48</v>
      </c>
      <c r="E115" s="539">
        <f>AVERAGE(E108:E113)</f>
        <v>307.32759155971138</v>
      </c>
      <c r="F115" s="513">
        <f>AVERAGE(F108:F113)</f>
        <v>1.0244253051990377</v>
      </c>
    </row>
    <row r="116" spans="1:10" ht="27" customHeight="1" x14ac:dyDescent="0.45">
      <c r="A116" s="386" t="s">
        <v>79</v>
      </c>
      <c r="B116" s="417">
        <f>(B115/B114)*(B113/B112)*(B111/B110)*(B109/B108)*B107</f>
        <v>1000</v>
      </c>
      <c r="C116" s="514"/>
      <c r="D116" s="477" t="s">
        <v>61</v>
      </c>
      <c r="E116" s="515">
        <f>STDEV(E108:E113)/E115</f>
        <v>1.6346941954795979E-2</v>
      </c>
      <c r="F116" s="515">
        <f>STDEV(F108:F113)/F115</f>
        <v>1.6346941954795982E-2</v>
      </c>
      <c r="I116" s="362"/>
    </row>
    <row r="117" spans="1:10" ht="27" customHeight="1" x14ac:dyDescent="0.45">
      <c r="A117" s="724" t="s">
        <v>55</v>
      </c>
      <c r="B117" s="736"/>
      <c r="C117" s="516"/>
      <c r="D117" s="517" t="s">
        <v>3</v>
      </c>
      <c r="E117" s="518">
        <f>COUNT(E108:E113)</f>
        <v>6</v>
      </c>
      <c r="F117" s="518">
        <f>COUNT(F108:F113)</f>
        <v>6</v>
      </c>
      <c r="I117" s="362"/>
      <c r="J117" s="497"/>
    </row>
    <row r="118" spans="1:10" ht="19.5" customHeight="1" x14ac:dyDescent="0.35">
      <c r="A118" s="726"/>
      <c r="B118" s="737"/>
      <c r="C118" s="362"/>
      <c r="D118" s="362"/>
      <c r="E118" s="362"/>
      <c r="F118" s="458"/>
      <c r="G118" s="362"/>
      <c r="H118" s="362"/>
      <c r="I118" s="362"/>
    </row>
    <row r="119" spans="1:10" ht="18" x14ac:dyDescent="0.35">
      <c r="A119" s="527"/>
      <c r="B119" s="382"/>
      <c r="C119" s="362"/>
      <c r="D119" s="362"/>
      <c r="E119" s="362"/>
      <c r="F119" s="458"/>
      <c r="G119" s="362"/>
      <c r="H119" s="362"/>
      <c r="I119" s="362"/>
    </row>
    <row r="120" spans="1:10" ht="26.25" customHeight="1" x14ac:dyDescent="0.45">
      <c r="A120" s="372" t="s">
        <v>82</v>
      </c>
      <c r="B120" s="465" t="s">
        <v>98</v>
      </c>
      <c r="C120" s="714" t="str">
        <f>B79</f>
        <v>LAMIVUDINE</v>
      </c>
      <c r="D120" s="714"/>
      <c r="E120" s="466" t="s">
        <v>99</v>
      </c>
      <c r="F120" s="466"/>
      <c r="G120" s="467">
        <f>F115</f>
        <v>1.0244253051990377</v>
      </c>
      <c r="H120" s="362"/>
      <c r="I120" s="362"/>
    </row>
    <row r="121" spans="1:10" ht="19.5" customHeight="1" x14ac:dyDescent="0.35">
      <c r="A121" s="519"/>
      <c r="B121" s="519"/>
      <c r="C121" s="520"/>
      <c r="D121" s="520"/>
      <c r="E121" s="520"/>
      <c r="F121" s="520"/>
      <c r="G121" s="520"/>
      <c r="H121" s="520"/>
    </row>
    <row r="122" spans="1:10" ht="18" x14ac:dyDescent="0.35">
      <c r="B122" s="715" t="s">
        <v>4</v>
      </c>
      <c r="C122" s="715"/>
      <c r="E122" s="472" t="s">
        <v>5</v>
      </c>
      <c r="F122" s="521"/>
      <c r="G122" s="715" t="s">
        <v>6</v>
      </c>
      <c r="H122" s="715"/>
    </row>
    <row r="123" spans="1:10" ht="69.900000000000006" customHeight="1" x14ac:dyDescent="0.35">
      <c r="A123" s="522" t="s">
        <v>7</v>
      </c>
      <c r="B123" s="523"/>
      <c r="C123" s="523"/>
      <c r="E123" s="523"/>
      <c r="F123" s="362"/>
      <c r="G123" s="524"/>
      <c r="H123" s="524"/>
    </row>
    <row r="124" spans="1:10" ht="69.900000000000006" customHeight="1" x14ac:dyDescent="0.35">
      <c r="A124" s="522" t="s">
        <v>8</v>
      </c>
      <c r="B124" s="525"/>
      <c r="C124" s="525"/>
      <c r="E124" s="525"/>
      <c r="F124" s="362"/>
      <c r="G124" s="526"/>
      <c r="H124" s="526"/>
    </row>
    <row r="125" spans="1:10" ht="18" x14ac:dyDescent="0.35">
      <c r="A125" s="457"/>
      <c r="B125" s="457"/>
      <c r="C125" s="458"/>
      <c r="D125" s="458"/>
      <c r="E125" s="458"/>
      <c r="F125" s="462"/>
      <c r="G125" s="458"/>
      <c r="H125" s="458"/>
      <c r="I125" s="362"/>
    </row>
    <row r="126" spans="1:10" ht="18" x14ac:dyDescent="0.35">
      <c r="A126" s="457"/>
      <c r="B126" s="457"/>
      <c r="C126" s="458"/>
      <c r="D126" s="458"/>
      <c r="E126" s="458"/>
      <c r="F126" s="462"/>
      <c r="G126" s="458"/>
      <c r="H126" s="458"/>
      <c r="I126" s="362"/>
    </row>
    <row r="127" spans="1:10" ht="18" x14ac:dyDescent="0.35">
      <c r="A127" s="457"/>
      <c r="B127" s="457"/>
      <c r="C127" s="458"/>
      <c r="D127" s="458"/>
      <c r="E127" s="458"/>
      <c r="F127" s="462"/>
      <c r="G127" s="458"/>
      <c r="H127" s="458"/>
      <c r="I127" s="362"/>
    </row>
    <row r="128" spans="1:10" ht="18" x14ac:dyDescent="0.35">
      <c r="A128" s="457"/>
      <c r="B128" s="457"/>
      <c r="C128" s="458"/>
      <c r="D128" s="458"/>
      <c r="E128" s="458"/>
      <c r="F128" s="462"/>
      <c r="G128" s="458"/>
      <c r="H128" s="458"/>
      <c r="I128" s="362"/>
    </row>
    <row r="129" spans="1:9" ht="18" x14ac:dyDescent="0.35">
      <c r="A129" s="457"/>
      <c r="B129" s="457"/>
      <c r="C129" s="458"/>
      <c r="D129" s="458"/>
      <c r="E129" s="458"/>
      <c r="F129" s="462"/>
      <c r="G129" s="458"/>
      <c r="H129" s="458"/>
      <c r="I129" s="362"/>
    </row>
    <row r="130" spans="1:9" ht="18" x14ac:dyDescent="0.35">
      <c r="A130" s="457"/>
      <c r="B130" s="457"/>
      <c r="C130" s="458"/>
      <c r="D130" s="458"/>
      <c r="E130" s="458"/>
      <c r="F130" s="462"/>
      <c r="G130" s="458"/>
      <c r="H130" s="458"/>
      <c r="I130" s="362"/>
    </row>
    <row r="131" spans="1:9" ht="18" x14ac:dyDescent="0.35">
      <c r="A131" s="457"/>
      <c r="B131" s="457"/>
      <c r="C131" s="458"/>
      <c r="D131" s="458"/>
      <c r="E131" s="458"/>
      <c r="F131" s="462"/>
      <c r="G131" s="458"/>
      <c r="H131" s="458"/>
      <c r="I131" s="362"/>
    </row>
    <row r="132" spans="1:9" ht="18" x14ac:dyDescent="0.35">
      <c r="A132" s="457"/>
      <c r="B132" s="457"/>
      <c r="C132" s="458"/>
      <c r="D132" s="458"/>
      <c r="E132" s="458"/>
      <c r="F132" s="462"/>
      <c r="G132" s="458"/>
      <c r="H132" s="458"/>
      <c r="I132" s="362"/>
    </row>
    <row r="133" spans="1:9" ht="18" x14ac:dyDescent="0.35">
      <c r="A133" s="457"/>
      <c r="B133" s="457"/>
      <c r="C133" s="458"/>
      <c r="D133" s="458"/>
      <c r="E133" s="458"/>
      <c r="F133" s="462"/>
      <c r="G133" s="458"/>
      <c r="H133" s="458"/>
      <c r="I133" s="362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D104">
    <cfRule type="cellIs" dxfId="21" priority="5" operator="greaterThan">
      <formula>0.02</formula>
    </cfRule>
  </conditionalFormatting>
  <conditionalFormatting sqref="I39">
    <cfRule type="cellIs" dxfId="20" priority="6" operator="lessThanOrEqual">
      <formula>0.02</formula>
    </cfRule>
  </conditionalFormatting>
  <conditionalFormatting sqref="I39">
    <cfRule type="cellIs" dxfId="19" priority="7" operator="greaterThan">
      <formula>0.02</formula>
    </cfRule>
  </conditionalFormatting>
  <conditionalFormatting sqref="I92">
    <cfRule type="cellIs" dxfId="18" priority="8" operator="lessThanOrEqual">
      <formula>0.02</formula>
    </cfRule>
  </conditionalFormatting>
  <conditionalFormatting sqref="I92">
    <cfRule type="cellIs" dxfId="17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70" zoomScalePageLayoutView="55" workbookViewId="0">
      <selection activeCell="D60" sqref="D60:D7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2"/>
  </cols>
  <sheetData>
    <row r="1" spans="1:12" customFormat="1" ht="18.75" customHeight="1" x14ac:dyDescent="0.3">
      <c r="A1" s="734" t="s">
        <v>22</v>
      </c>
      <c r="B1" s="734"/>
      <c r="C1" s="734"/>
      <c r="D1" s="734"/>
      <c r="E1" s="734"/>
      <c r="F1" s="734"/>
      <c r="G1" s="734"/>
      <c r="H1" s="734"/>
      <c r="I1" s="734"/>
      <c r="J1" s="1"/>
      <c r="K1" s="1"/>
      <c r="L1" s="1"/>
    </row>
    <row r="2" spans="1:12" customFormat="1" ht="18.75" customHeigh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1"/>
      <c r="K2" s="1"/>
      <c r="L2" s="1"/>
    </row>
    <row r="3" spans="1:12" customFormat="1" ht="18.75" customHeight="1" x14ac:dyDescent="0.3">
      <c r="A3" s="734"/>
      <c r="B3" s="734"/>
      <c r="C3" s="734"/>
      <c r="D3" s="734"/>
      <c r="E3" s="734"/>
      <c r="F3" s="734"/>
      <c r="G3" s="734"/>
      <c r="H3" s="734"/>
      <c r="I3" s="734"/>
      <c r="J3" s="1"/>
      <c r="K3" s="1"/>
      <c r="L3" s="1"/>
    </row>
    <row r="4" spans="1:12" customFormat="1" ht="18.75" customHeight="1" x14ac:dyDescent="0.3">
      <c r="A4" s="734"/>
      <c r="B4" s="734"/>
      <c r="C4" s="734"/>
      <c r="D4" s="734"/>
      <c r="E4" s="734"/>
      <c r="F4" s="734"/>
      <c r="G4" s="734"/>
      <c r="H4" s="734"/>
      <c r="I4" s="734"/>
      <c r="J4" s="1"/>
      <c r="K4" s="1"/>
      <c r="L4" s="1"/>
    </row>
    <row r="5" spans="1:12" customFormat="1" ht="18.75" customHeight="1" x14ac:dyDescent="0.3">
      <c r="A5" s="734"/>
      <c r="B5" s="734"/>
      <c r="C5" s="734"/>
      <c r="D5" s="734"/>
      <c r="E5" s="734"/>
      <c r="F5" s="734"/>
      <c r="G5" s="734"/>
      <c r="H5" s="734"/>
      <c r="I5" s="734"/>
      <c r="J5" s="1"/>
      <c r="K5" s="1"/>
      <c r="L5" s="1"/>
    </row>
    <row r="6" spans="1:12" customFormat="1" ht="18.75" customHeight="1" x14ac:dyDescent="0.3">
      <c r="A6" s="734"/>
      <c r="B6" s="734"/>
      <c r="C6" s="734"/>
      <c r="D6" s="734"/>
      <c r="E6" s="734"/>
      <c r="F6" s="734"/>
      <c r="G6" s="734"/>
      <c r="H6" s="734"/>
      <c r="I6" s="734"/>
      <c r="J6" s="1"/>
      <c r="K6" s="1"/>
      <c r="L6" s="1"/>
    </row>
    <row r="7" spans="1:12" customFormat="1" ht="18.75" customHeight="1" x14ac:dyDescent="0.3">
      <c r="A7" s="734"/>
      <c r="B7" s="734"/>
      <c r="C7" s="734"/>
      <c r="D7" s="734"/>
      <c r="E7" s="734"/>
      <c r="F7" s="734"/>
      <c r="G7" s="734"/>
      <c r="H7" s="734"/>
      <c r="I7" s="734"/>
      <c r="J7" s="1"/>
      <c r="K7" s="1"/>
      <c r="L7" s="1"/>
    </row>
    <row r="8" spans="1:12" customFormat="1" x14ac:dyDescent="0.3">
      <c r="A8" s="735" t="s">
        <v>23</v>
      </c>
      <c r="B8" s="735"/>
      <c r="C8" s="735"/>
      <c r="D8" s="735"/>
      <c r="E8" s="735"/>
      <c r="F8" s="735"/>
      <c r="G8" s="735"/>
      <c r="H8" s="735"/>
      <c r="I8" s="735"/>
      <c r="J8" s="1"/>
      <c r="K8" s="1"/>
      <c r="L8" s="1"/>
    </row>
    <row r="9" spans="1:12" customFormat="1" x14ac:dyDescent="0.3">
      <c r="A9" s="735"/>
      <c r="B9" s="735"/>
      <c r="C9" s="735"/>
      <c r="D9" s="735"/>
      <c r="E9" s="735"/>
      <c r="F9" s="735"/>
      <c r="G9" s="735"/>
      <c r="H9" s="735"/>
      <c r="I9" s="735"/>
      <c r="J9" s="1"/>
      <c r="K9" s="1"/>
      <c r="L9" s="1"/>
    </row>
    <row r="10" spans="1:12" customFormat="1" x14ac:dyDescent="0.3">
      <c r="A10" s="735"/>
      <c r="B10" s="735"/>
      <c r="C10" s="735"/>
      <c r="D10" s="735"/>
      <c r="E10" s="735"/>
      <c r="F10" s="735"/>
      <c r="G10" s="735"/>
      <c r="H10" s="735"/>
      <c r="I10" s="735"/>
      <c r="J10" s="1"/>
      <c r="K10" s="1"/>
      <c r="L10" s="1"/>
    </row>
    <row r="11" spans="1:12" customFormat="1" x14ac:dyDescent="0.3">
      <c r="A11" s="735"/>
      <c r="B11" s="735"/>
      <c r="C11" s="735"/>
      <c r="D11" s="735"/>
      <c r="E11" s="735"/>
      <c r="F11" s="735"/>
      <c r="G11" s="735"/>
      <c r="H11" s="735"/>
      <c r="I11" s="735"/>
      <c r="J11" s="1"/>
      <c r="K11" s="1"/>
      <c r="L11" s="1"/>
    </row>
    <row r="12" spans="1:12" customFormat="1" x14ac:dyDescent="0.3">
      <c r="A12" s="735"/>
      <c r="B12" s="735"/>
      <c r="C12" s="735"/>
      <c r="D12" s="735"/>
      <c r="E12" s="735"/>
      <c r="F12" s="735"/>
      <c r="G12" s="735"/>
      <c r="H12" s="735"/>
      <c r="I12" s="735"/>
      <c r="J12" s="1"/>
      <c r="K12" s="1"/>
      <c r="L12" s="1"/>
    </row>
    <row r="13" spans="1:12" customFormat="1" x14ac:dyDescent="0.3">
      <c r="A13" s="735"/>
      <c r="B13" s="735"/>
      <c r="C13" s="735"/>
      <c r="D13" s="735"/>
      <c r="E13" s="735"/>
      <c r="F13" s="735"/>
      <c r="G13" s="735"/>
      <c r="H13" s="735"/>
      <c r="I13" s="735"/>
      <c r="J13" s="1"/>
      <c r="K13" s="1"/>
      <c r="L13" s="1"/>
    </row>
    <row r="14" spans="1:12" customFormat="1" x14ac:dyDescent="0.3">
      <c r="A14" s="735"/>
      <c r="B14" s="735"/>
      <c r="C14" s="735"/>
      <c r="D14" s="735"/>
      <c r="E14" s="735"/>
      <c r="F14" s="735"/>
      <c r="G14" s="735"/>
      <c r="H14" s="735"/>
      <c r="I14" s="735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5" t="s">
        <v>9</v>
      </c>
      <c r="B16" s="746"/>
      <c r="C16" s="746"/>
      <c r="D16" s="746"/>
      <c r="E16" s="746"/>
      <c r="F16" s="746"/>
      <c r="G16" s="746"/>
      <c r="H16" s="747"/>
      <c r="I16" s="1"/>
      <c r="J16" s="1"/>
      <c r="K16" s="1"/>
      <c r="L16" s="1"/>
    </row>
    <row r="17" spans="1:14" customFormat="1" ht="20.25" customHeight="1" x14ac:dyDescent="0.3">
      <c r="A17" s="748" t="s">
        <v>24</v>
      </c>
      <c r="B17" s="748"/>
      <c r="C17" s="748"/>
      <c r="D17" s="748"/>
      <c r="E17" s="748"/>
      <c r="F17" s="748"/>
      <c r="G17" s="748"/>
      <c r="H17" s="748"/>
      <c r="I17" s="1"/>
      <c r="J17" s="1"/>
      <c r="K17" s="1"/>
      <c r="L17" s="1"/>
    </row>
    <row r="18" spans="1:14" customFormat="1" ht="26.25" customHeight="1" x14ac:dyDescent="0.5">
      <c r="A18" s="183" t="s">
        <v>11</v>
      </c>
      <c r="B18" s="650" t="s">
        <v>126</v>
      </c>
      <c r="C18" s="650"/>
      <c r="D18" s="348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12</v>
      </c>
      <c r="B19" s="186" t="s">
        <v>138</v>
      </c>
      <c r="C19" s="361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13</v>
      </c>
      <c r="B20" s="651" t="s">
        <v>127</v>
      </c>
      <c r="C20" s="651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14</v>
      </c>
      <c r="B21" s="750" t="s">
        <v>129</v>
      </c>
      <c r="C21" s="750"/>
      <c r="D21" s="750"/>
      <c r="E21" s="750"/>
      <c r="F21" s="750"/>
      <c r="G21" s="750"/>
      <c r="H21" s="750"/>
      <c r="I21" s="187"/>
      <c r="J21" s="1"/>
      <c r="K21" s="1"/>
      <c r="L21" s="1"/>
    </row>
    <row r="22" spans="1:14" customFormat="1" ht="26.25" customHeight="1" x14ac:dyDescent="0.5">
      <c r="A22" s="183" t="s">
        <v>15</v>
      </c>
      <c r="B22" s="188">
        <v>42495.458773148152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16</v>
      </c>
      <c r="B23" s="188">
        <v>42500.458773148152</v>
      </c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50" t="s">
        <v>132</v>
      </c>
      <c r="C26" s="652"/>
    </row>
    <row r="27" spans="1:14" ht="26.25" customHeight="1" x14ac:dyDescent="0.5">
      <c r="A27" s="192" t="s">
        <v>25</v>
      </c>
      <c r="B27" s="654" t="s">
        <v>101</v>
      </c>
      <c r="C27" s="660"/>
      <c r="D27" s="660"/>
    </row>
    <row r="28" spans="1:14" ht="27" customHeight="1" thickBot="1" x14ac:dyDescent="0.5">
      <c r="A28" s="192" t="s">
        <v>2</v>
      </c>
      <c r="B28" s="193">
        <v>98.8</v>
      </c>
    </row>
    <row r="29" spans="1:14" s="579" customFormat="1" ht="27" customHeight="1" x14ac:dyDescent="0.5">
      <c r="A29" s="192" t="s">
        <v>26</v>
      </c>
      <c r="B29" s="194">
        <v>0</v>
      </c>
      <c r="C29" s="716" t="s">
        <v>27</v>
      </c>
      <c r="D29" s="717"/>
      <c r="E29" s="717"/>
      <c r="F29" s="717"/>
      <c r="G29" s="718"/>
      <c r="H29" s="488"/>
      <c r="I29" s="195"/>
      <c r="J29" s="195"/>
      <c r="K29" s="195"/>
      <c r="L29" s="195"/>
    </row>
    <row r="30" spans="1:14" s="579" customFormat="1" ht="19.5" customHeight="1" x14ac:dyDescent="0.35">
      <c r="A30" s="192" t="s">
        <v>28</v>
      </c>
      <c r="B30" s="196">
        <f>B28-B29</f>
        <v>98.8</v>
      </c>
      <c r="C30" s="197"/>
      <c r="D30" s="197"/>
      <c r="E30" s="197"/>
      <c r="F30" s="197"/>
      <c r="G30" s="198"/>
      <c r="H30" s="488"/>
      <c r="I30" s="195"/>
      <c r="J30" s="195"/>
      <c r="K30" s="195"/>
      <c r="L30" s="195"/>
    </row>
    <row r="31" spans="1:14" s="579" customFormat="1" ht="27" customHeight="1" x14ac:dyDescent="0.45">
      <c r="A31" s="192" t="s">
        <v>29</v>
      </c>
      <c r="B31" s="199">
        <v>1</v>
      </c>
      <c r="C31" s="719" t="s">
        <v>30</v>
      </c>
      <c r="D31" s="720"/>
      <c r="E31" s="720"/>
      <c r="F31" s="720"/>
      <c r="G31" s="720"/>
      <c r="H31" s="721"/>
      <c r="I31" s="195"/>
      <c r="J31" s="195"/>
      <c r="K31" s="195"/>
      <c r="L31" s="195"/>
    </row>
    <row r="32" spans="1:14" s="579" customFormat="1" ht="27" customHeight="1" x14ac:dyDescent="0.45">
      <c r="A32" s="192" t="s">
        <v>31</v>
      </c>
      <c r="B32" s="199">
        <v>1</v>
      </c>
      <c r="C32" s="719" t="s">
        <v>32</v>
      </c>
      <c r="D32" s="720"/>
      <c r="E32" s="720"/>
      <c r="F32" s="720"/>
      <c r="G32" s="720"/>
      <c r="H32" s="721"/>
      <c r="I32" s="195"/>
      <c r="J32" s="195"/>
      <c r="K32" s="195"/>
      <c r="L32" s="200"/>
      <c r="M32" s="580"/>
      <c r="N32" s="581"/>
    </row>
    <row r="33" spans="1:14" s="579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80"/>
      <c r="N33" s="581"/>
    </row>
    <row r="34" spans="1:14" s="579" customFormat="1" ht="18" x14ac:dyDescent="0.35">
      <c r="A34" s="192" t="s">
        <v>33</v>
      </c>
      <c r="B34" s="203">
        <f>B31/B32</f>
        <v>1</v>
      </c>
      <c r="C34" s="182" t="s">
        <v>34</v>
      </c>
      <c r="D34" s="182"/>
      <c r="E34" s="182"/>
      <c r="F34" s="182"/>
      <c r="G34" s="182"/>
      <c r="H34" s="488"/>
      <c r="I34" s="195"/>
      <c r="J34" s="195"/>
      <c r="K34" s="195"/>
      <c r="L34" s="200"/>
      <c r="M34" s="580"/>
      <c r="N34" s="581"/>
    </row>
    <row r="35" spans="1:14" s="579" customFormat="1" ht="19.5" customHeight="1" x14ac:dyDescent="0.35">
      <c r="A35" s="192"/>
      <c r="B35" s="196"/>
      <c r="C35" s="2"/>
      <c r="D35" s="2"/>
      <c r="E35" s="2"/>
      <c r="F35" s="2"/>
      <c r="G35" s="182"/>
      <c r="H35" s="488"/>
      <c r="I35" s="195"/>
      <c r="J35" s="195"/>
      <c r="K35" s="195"/>
      <c r="L35" s="200"/>
      <c r="M35" s="580"/>
      <c r="N35" s="581"/>
    </row>
    <row r="36" spans="1:14" s="579" customFormat="1" ht="27" customHeight="1" x14ac:dyDescent="0.45">
      <c r="A36" s="204" t="s">
        <v>35</v>
      </c>
      <c r="B36" s="205">
        <v>25</v>
      </c>
      <c r="C36" s="182"/>
      <c r="D36" s="722" t="s">
        <v>36</v>
      </c>
      <c r="E36" s="744"/>
      <c r="F36" s="722" t="s">
        <v>37</v>
      </c>
      <c r="G36" s="723"/>
      <c r="H36" s="488"/>
      <c r="I36" s="2"/>
      <c r="J36" s="195"/>
      <c r="K36" s="195"/>
      <c r="L36" s="200"/>
      <c r="M36" s="580"/>
      <c r="N36" s="581"/>
    </row>
    <row r="37" spans="1:14" s="579" customFormat="1" ht="27" customHeight="1" x14ac:dyDescent="0.45">
      <c r="A37" s="206" t="s">
        <v>38</v>
      </c>
      <c r="B37" s="207">
        <v>5</v>
      </c>
      <c r="C37" s="208" t="s">
        <v>39</v>
      </c>
      <c r="D37" s="209" t="s">
        <v>40</v>
      </c>
      <c r="E37" s="210" t="s">
        <v>41</v>
      </c>
      <c r="F37" s="209" t="s">
        <v>40</v>
      </c>
      <c r="G37" s="211" t="s">
        <v>41</v>
      </c>
      <c r="H37" s="488"/>
      <c r="I37" s="212" t="s">
        <v>42</v>
      </c>
      <c r="J37" s="195"/>
      <c r="K37" s="195"/>
      <c r="L37" s="200"/>
      <c r="M37" s="580"/>
      <c r="N37" s="581"/>
    </row>
    <row r="38" spans="1:14" s="579" customFormat="1" ht="26.25" customHeight="1" x14ac:dyDescent="0.45">
      <c r="A38" s="206" t="s">
        <v>43</v>
      </c>
      <c r="B38" s="207">
        <v>50</v>
      </c>
      <c r="C38" s="213">
        <v>1</v>
      </c>
      <c r="D38" s="214">
        <v>12930095</v>
      </c>
      <c r="E38" s="215">
        <f>IF(ISBLANK(D38),"-",$D$48/$D$45*D38)</f>
        <v>12535575.371895701</v>
      </c>
      <c r="F38" s="214">
        <v>13414902</v>
      </c>
      <c r="G38" s="216">
        <f>IF(ISBLANK(F38),"-",$D$48/$F$45*F38)</f>
        <v>12358467.262489684</v>
      </c>
      <c r="H38" s="488"/>
      <c r="I38" s="217"/>
      <c r="J38" s="195"/>
      <c r="K38" s="195"/>
      <c r="L38" s="200"/>
      <c r="M38" s="580"/>
      <c r="N38" s="581"/>
    </row>
    <row r="39" spans="1:14" s="579" customFormat="1" ht="26.25" customHeight="1" x14ac:dyDescent="0.45">
      <c r="A39" s="206" t="s">
        <v>44</v>
      </c>
      <c r="B39" s="207">
        <v>1</v>
      </c>
      <c r="C39" s="218">
        <v>2</v>
      </c>
      <c r="D39" s="219">
        <v>12905692</v>
      </c>
      <c r="E39" s="220">
        <f>IF(ISBLANK(D39),"-",$D$48/$D$45*D39)</f>
        <v>12511916.949757243</v>
      </c>
      <c r="F39" s="219">
        <v>13416161</v>
      </c>
      <c r="G39" s="221">
        <f>IF(ISBLANK(F39),"-",$D$48/$F$45*F39)</f>
        <v>12359627.115188085</v>
      </c>
      <c r="H39" s="488"/>
      <c r="I39" s="738">
        <f>ABS((F43/D43*D42)-F42)/D42</f>
        <v>1.4385832175622231E-2</v>
      </c>
      <c r="J39" s="195"/>
      <c r="K39" s="195"/>
      <c r="L39" s="200"/>
      <c r="M39" s="580"/>
      <c r="N39" s="581"/>
    </row>
    <row r="40" spans="1:14" ht="26.25" customHeight="1" x14ac:dyDescent="0.45">
      <c r="A40" s="206" t="s">
        <v>45</v>
      </c>
      <c r="B40" s="207">
        <v>1</v>
      </c>
      <c r="C40" s="218">
        <v>3</v>
      </c>
      <c r="D40" s="219">
        <v>12898653</v>
      </c>
      <c r="E40" s="220">
        <f>IF(ISBLANK(D40),"-",$D$48/$D$45*D40)</f>
        <v>12505092.721857697</v>
      </c>
      <c r="F40" s="219">
        <v>13374390</v>
      </c>
      <c r="G40" s="221">
        <f>IF(ISBLANK(F40),"-",$D$48/$F$45*F40)</f>
        <v>12321145.616327977</v>
      </c>
      <c r="I40" s="738"/>
      <c r="L40" s="200"/>
      <c r="M40" s="580"/>
      <c r="N40" s="659"/>
    </row>
    <row r="41" spans="1:14" ht="27" customHeight="1" x14ac:dyDescent="0.45">
      <c r="A41" s="206" t="s">
        <v>46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80"/>
      <c r="N41" s="659"/>
    </row>
    <row r="42" spans="1:14" ht="27" customHeight="1" x14ac:dyDescent="0.45">
      <c r="A42" s="206" t="s">
        <v>47</v>
      </c>
      <c r="B42" s="207">
        <v>1</v>
      </c>
      <c r="C42" s="228" t="s">
        <v>48</v>
      </c>
      <c r="D42" s="229">
        <f>AVERAGE(D38:D41)</f>
        <v>12911480</v>
      </c>
      <c r="E42" s="230">
        <f>AVERAGE(E38:E41)</f>
        <v>12517528.34783688</v>
      </c>
      <c r="F42" s="229">
        <f>AVERAGE(F38:F41)</f>
        <v>13401817.666666666</v>
      </c>
      <c r="G42" s="231">
        <f>AVERAGE(G38:G41)</f>
        <v>12346413.331335248</v>
      </c>
      <c r="H42" s="232"/>
    </row>
    <row r="43" spans="1:14" ht="26.25" customHeight="1" x14ac:dyDescent="0.45">
      <c r="A43" s="206" t="s">
        <v>49</v>
      </c>
      <c r="B43" s="207">
        <v>1</v>
      </c>
      <c r="C43" s="233" t="s">
        <v>50</v>
      </c>
      <c r="D43" s="234">
        <v>15.66</v>
      </c>
      <c r="E43" s="222"/>
      <c r="F43" s="234">
        <v>16.48</v>
      </c>
      <c r="H43" s="232"/>
    </row>
    <row r="44" spans="1:14" ht="26.25" customHeight="1" x14ac:dyDescent="0.45">
      <c r="A44" s="206" t="s">
        <v>51</v>
      </c>
      <c r="B44" s="207">
        <v>1</v>
      </c>
      <c r="C44" s="235" t="s">
        <v>52</v>
      </c>
      <c r="D44" s="236">
        <f>D43*$B$34</f>
        <v>15.66</v>
      </c>
      <c r="E44" s="237"/>
      <c r="F44" s="236">
        <f>F43*$B$34</f>
        <v>16.48</v>
      </c>
      <c r="H44" s="232"/>
    </row>
    <row r="45" spans="1:14" ht="19.5" customHeight="1" x14ac:dyDescent="0.35">
      <c r="A45" s="206" t="s">
        <v>53</v>
      </c>
      <c r="B45" s="238">
        <f>(B44/B43)*(B42/B41)*(B40/B39)*(B38/B37)*B36</f>
        <v>250</v>
      </c>
      <c r="C45" s="235" t="s">
        <v>54</v>
      </c>
      <c r="D45" s="239">
        <f>D44*$B$30/100</f>
        <v>15.472079999999998</v>
      </c>
      <c r="E45" s="240"/>
      <c r="F45" s="239">
        <f>F44*$B$30/100</f>
        <v>16.282239999999998</v>
      </c>
      <c r="H45" s="232"/>
    </row>
    <row r="46" spans="1:14" ht="19.5" customHeight="1" x14ac:dyDescent="0.35">
      <c r="A46" s="724" t="s">
        <v>55</v>
      </c>
      <c r="B46" s="736"/>
      <c r="C46" s="235" t="s">
        <v>56</v>
      </c>
      <c r="D46" s="241">
        <f>D45/$B$45</f>
        <v>6.188831999999999E-2</v>
      </c>
      <c r="E46" s="242"/>
      <c r="F46" s="243">
        <f>F45/$B$45</f>
        <v>6.5128959999999986E-2</v>
      </c>
      <c r="H46" s="232"/>
    </row>
    <row r="47" spans="1:14" ht="27" customHeight="1" x14ac:dyDescent="0.45">
      <c r="A47" s="726"/>
      <c r="B47" s="737"/>
      <c r="C47" s="244" t="s">
        <v>57</v>
      </c>
      <c r="D47" s="245">
        <v>0.06</v>
      </c>
      <c r="E47" s="246"/>
      <c r="F47" s="242"/>
      <c r="H47" s="232"/>
    </row>
    <row r="48" spans="1:14" ht="18" x14ac:dyDescent="0.35">
      <c r="C48" s="247" t="s">
        <v>58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59</v>
      </c>
      <c r="D49" s="250">
        <f>D48/B34</f>
        <v>15</v>
      </c>
      <c r="F49" s="248"/>
      <c r="H49" s="232"/>
    </row>
    <row r="50" spans="1:10" ht="18" x14ac:dyDescent="0.35">
      <c r="C50" s="204" t="s">
        <v>60</v>
      </c>
      <c r="D50" s="251">
        <f>AVERAGE(E38:E41,G38:G41)</f>
        <v>12431970.839586064</v>
      </c>
      <c r="F50" s="252"/>
      <c r="H50" s="232"/>
    </row>
    <row r="51" spans="1:10" ht="18" x14ac:dyDescent="0.35">
      <c r="C51" s="206" t="s">
        <v>61</v>
      </c>
      <c r="D51" s="253">
        <f>STDEV(E38:E41,G38:G41)/D50</f>
        <v>7.6640530417711929E-3</v>
      </c>
      <c r="F51" s="252"/>
      <c r="H51" s="232"/>
    </row>
    <row r="52" spans="1:10" ht="19.5" customHeight="1" x14ac:dyDescent="0.35">
      <c r="C52" s="254" t="s">
        <v>3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62</v>
      </c>
      <c r="H54" s="661"/>
    </row>
    <row r="55" spans="1:10" ht="18" x14ac:dyDescent="0.35">
      <c r="A55" s="182" t="s">
        <v>63</v>
      </c>
      <c r="B55" s="258" t="str">
        <f>B21</f>
        <v>Each film-coated tablet contains Efavirenz 600 mg, Lamivudine USP 300 mg, Tenofovir Disoproxil Fumarate 300mg equivalent to tenofovir disoproxil 245 mg</v>
      </c>
      <c r="G55" s="583"/>
      <c r="H55" s="662">
        <f>F70/D50*D47*B68*B69/D68/300</f>
        <v>0.99200137609809913</v>
      </c>
      <c r="J55" s="582"/>
    </row>
    <row r="56" spans="1:10" ht="26.25" customHeight="1" x14ac:dyDescent="0.45">
      <c r="A56" s="259" t="s">
        <v>64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137</v>
      </c>
      <c r="B57" s="349">
        <f>'Uniformity '!C44</f>
        <v>1890.8524999999997</v>
      </c>
      <c r="H57" s="261"/>
    </row>
    <row r="58" spans="1:10" ht="19.5" customHeight="1" x14ac:dyDescent="0.35">
      <c r="H58" s="261"/>
    </row>
    <row r="59" spans="1:10" s="579" customFormat="1" ht="27" customHeight="1" thickBot="1" x14ac:dyDescent="0.5">
      <c r="A59" s="204" t="s">
        <v>65</v>
      </c>
      <c r="B59" s="205">
        <v>200</v>
      </c>
      <c r="C59" s="182"/>
      <c r="D59" s="262" t="s">
        <v>66</v>
      </c>
      <c r="E59" s="263" t="s">
        <v>39</v>
      </c>
      <c r="F59" s="263" t="s">
        <v>40</v>
      </c>
      <c r="G59" s="263" t="s">
        <v>67</v>
      </c>
      <c r="H59" s="208" t="s">
        <v>68</v>
      </c>
      <c r="I59" s="2"/>
      <c r="J59" s="488"/>
    </row>
    <row r="60" spans="1:10" s="579" customFormat="1" ht="26.25" customHeight="1" x14ac:dyDescent="0.45">
      <c r="A60" s="206" t="s">
        <v>69</v>
      </c>
      <c r="B60" s="207">
        <v>5</v>
      </c>
      <c r="C60" s="728" t="s">
        <v>70</v>
      </c>
      <c r="D60" s="731">
        <v>1891.31</v>
      </c>
      <c r="E60" s="264">
        <v>1</v>
      </c>
      <c r="F60" s="265">
        <v>12887721</v>
      </c>
      <c r="G60" s="350">
        <f>IF(ISBLANK(F60),"-",(F60/$D$50*$D$47*$B$68)*($B$57/$D$60))</f>
        <v>310.92262876823514</v>
      </c>
      <c r="H60" s="266">
        <f t="shared" ref="H60:H71" si="0">IF(ISBLANK(F60),"-",G60/$B$56)</f>
        <v>1.0364087625607838</v>
      </c>
      <c r="I60" s="2"/>
      <c r="J60" s="488"/>
    </row>
    <row r="61" spans="1:10" s="579" customFormat="1" ht="26.25" customHeight="1" x14ac:dyDescent="0.45">
      <c r="A61" s="206" t="s">
        <v>71</v>
      </c>
      <c r="B61" s="207">
        <v>50</v>
      </c>
      <c r="C61" s="729"/>
      <c r="D61" s="732"/>
      <c r="E61" s="267">
        <v>2</v>
      </c>
      <c r="F61" s="219">
        <v>12811790</v>
      </c>
      <c r="G61" s="351">
        <f>IF(ISBLANK(F61),"-",(F61/$D$50*$D$47*$B$68)*($B$57/$D$60))</f>
        <v>309.0907559239206</v>
      </c>
      <c r="H61" s="268">
        <f t="shared" si="0"/>
        <v>1.030302519746402</v>
      </c>
      <c r="I61" s="2"/>
      <c r="J61" s="488"/>
    </row>
    <row r="62" spans="1:10" s="579" customFormat="1" ht="26.25" customHeight="1" x14ac:dyDescent="0.45">
      <c r="A62" s="206" t="s">
        <v>72</v>
      </c>
      <c r="B62" s="207">
        <v>10</v>
      </c>
      <c r="C62" s="729"/>
      <c r="D62" s="732"/>
      <c r="E62" s="267">
        <v>3</v>
      </c>
      <c r="F62" s="269">
        <v>12875394</v>
      </c>
      <c r="G62" s="351">
        <f>IF(ISBLANK(F62),"-",(F62/$D$50*$D$47*$B$68)*($B$57/$D$60))</f>
        <v>310.62523381028825</v>
      </c>
      <c r="H62" s="268">
        <f t="shared" si="0"/>
        <v>1.0354174460342942</v>
      </c>
      <c r="I62" s="2"/>
      <c r="J62" s="488"/>
    </row>
    <row r="63" spans="1:10" ht="27" customHeight="1" thickBot="1" x14ac:dyDescent="0.5">
      <c r="A63" s="206" t="s">
        <v>73</v>
      </c>
      <c r="B63" s="207">
        <v>25</v>
      </c>
      <c r="C63" s="730"/>
      <c r="D63" s="733"/>
      <c r="E63" s="270">
        <v>4</v>
      </c>
      <c r="F63" s="271"/>
      <c r="G63" s="351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74</v>
      </c>
      <c r="B64" s="207">
        <v>1</v>
      </c>
      <c r="C64" s="728" t="s">
        <v>75</v>
      </c>
      <c r="D64" s="731">
        <v>1887.82</v>
      </c>
      <c r="E64" s="264">
        <v>1</v>
      </c>
      <c r="F64" s="265">
        <v>12753853</v>
      </c>
      <c r="G64" s="352">
        <f>IF(ISBLANK(F64),"-",(F64/$D$50*$D$47*$B$68)*($B$57/$D$64))</f>
        <v>308.26182716116665</v>
      </c>
      <c r="H64" s="272">
        <f t="shared" si="0"/>
        <v>1.0275394238705555</v>
      </c>
    </row>
    <row r="65" spans="1:8" ht="26.25" customHeight="1" x14ac:dyDescent="0.45">
      <c r="A65" s="206" t="s">
        <v>76</v>
      </c>
      <c r="B65" s="207">
        <v>1</v>
      </c>
      <c r="C65" s="729"/>
      <c r="D65" s="732"/>
      <c r="E65" s="267">
        <v>2</v>
      </c>
      <c r="F65" s="219">
        <v>12668319</v>
      </c>
      <c r="G65" s="353">
        <f>IF(ISBLANK(F65),"-",(F65/$D$50*$D$47*$B$68)*($B$57/$D$64))</f>
        <v>306.19446233232605</v>
      </c>
      <c r="H65" s="273">
        <f t="shared" si="0"/>
        <v>1.0206482077744201</v>
      </c>
    </row>
    <row r="66" spans="1:8" ht="26.25" customHeight="1" x14ac:dyDescent="0.45">
      <c r="A66" s="206" t="s">
        <v>77</v>
      </c>
      <c r="B66" s="207">
        <v>1</v>
      </c>
      <c r="C66" s="729"/>
      <c r="D66" s="732"/>
      <c r="E66" s="267">
        <v>3</v>
      </c>
      <c r="F66" s="219">
        <v>12702210</v>
      </c>
      <c r="G66" s="353">
        <f>IF(ISBLANK(F66),"-",(F66/$D$50*$D$47*$B$68)*($B$57/$D$64))</f>
        <v>307.01361099150523</v>
      </c>
      <c r="H66" s="273">
        <f t="shared" si="0"/>
        <v>1.0233787033050175</v>
      </c>
    </row>
    <row r="67" spans="1:8" ht="27" customHeight="1" thickBot="1" x14ac:dyDescent="0.5">
      <c r="A67" s="206" t="s">
        <v>78</v>
      </c>
      <c r="B67" s="207">
        <v>1</v>
      </c>
      <c r="C67" s="730"/>
      <c r="D67" s="733"/>
      <c r="E67" s="270">
        <v>4</v>
      </c>
      <c r="F67" s="271"/>
      <c r="G67" s="354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79</v>
      </c>
      <c r="B68" s="275">
        <f>(B67/B66)*(B65/B64)*(B63/B62)*(B61/B60)*B59</f>
        <v>5000</v>
      </c>
      <c r="C68" s="728" t="s">
        <v>80</v>
      </c>
      <c r="D68" s="731">
        <v>1889.91</v>
      </c>
      <c r="E68" s="264">
        <v>1</v>
      </c>
      <c r="F68" s="265">
        <v>12414750</v>
      </c>
      <c r="G68" s="352">
        <f>IF(ISBLANK(F68),"-",(F68/$D$50*$D$47*$B$68)*($B$57/$D$68))</f>
        <v>299.73384128227065</v>
      </c>
      <c r="H68" s="268">
        <f t="shared" si="0"/>
        <v>0.99911280427423543</v>
      </c>
    </row>
    <row r="69" spans="1:8" ht="27" customHeight="1" thickBot="1" x14ac:dyDescent="0.55000000000000004">
      <c r="A69" s="254" t="s">
        <v>81</v>
      </c>
      <c r="B69" s="276">
        <f>(D47*B68)/B56*B57</f>
        <v>1890.8524999999997</v>
      </c>
      <c r="C69" s="729"/>
      <c r="D69" s="732"/>
      <c r="E69" s="267">
        <v>2</v>
      </c>
      <c r="F69" s="219">
        <v>12410575</v>
      </c>
      <c r="G69" s="353">
        <f>IF(ISBLANK(F69),"-",(F69/$D$50*$D$47*$B$68)*($B$57/$D$68))</f>
        <v>299.6330427331776</v>
      </c>
      <c r="H69" s="268">
        <f t="shared" si="0"/>
        <v>0.99877680911059197</v>
      </c>
    </row>
    <row r="70" spans="1:8" ht="26.25" customHeight="1" x14ac:dyDescent="0.45">
      <c r="A70" s="740" t="s">
        <v>55</v>
      </c>
      <c r="B70" s="741"/>
      <c r="C70" s="729"/>
      <c r="D70" s="732"/>
      <c r="E70" s="267">
        <v>3</v>
      </c>
      <c r="F70" s="219">
        <v>12326385</v>
      </c>
      <c r="G70" s="353">
        <f>IF(ISBLANK(F70),"-",(F70/$D$50*$D$47*$B$68)*($B$57/$D$68))</f>
        <v>297.60041282942967</v>
      </c>
      <c r="H70" s="268">
        <f t="shared" si="0"/>
        <v>0.99200137609809891</v>
      </c>
    </row>
    <row r="71" spans="1:8" ht="27" customHeight="1" thickBot="1" x14ac:dyDescent="0.5">
      <c r="A71" s="742"/>
      <c r="B71" s="743"/>
      <c r="C71" s="739"/>
      <c r="D71" s="733"/>
      <c r="E71" s="270">
        <v>4</v>
      </c>
      <c r="F71" s="271"/>
      <c r="G71" s="354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48</v>
      </c>
      <c r="G72" s="359">
        <f>AVERAGE(G60:G71)</f>
        <v>305.45286842581334</v>
      </c>
      <c r="H72" s="281">
        <f>AVERAGE(H60:H71)</f>
        <v>1.0181762280860442</v>
      </c>
    </row>
    <row r="73" spans="1:8" ht="26.25" customHeight="1" x14ac:dyDescent="0.45">
      <c r="C73" s="278"/>
      <c r="D73" s="278"/>
      <c r="E73" s="278"/>
      <c r="F73" s="282" t="s">
        <v>61</v>
      </c>
      <c r="G73" s="355">
        <f>STDEV(G60:G71)/G72</f>
        <v>1.6734218846719353E-2</v>
      </c>
      <c r="H73" s="460">
        <f>STDEV(H60:H71)/H72</f>
        <v>1.6734218846719374E-2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3</v>
      </c>
      <c r="G74" s="285">
        <f>COUNT(G60:G71)</f>
        <v>9</v>
      </c>
      <c r="H74" s="285">
        <f>COUNT(H60:H71)</f>
        <v>9</v>
      </c>
    </row>
    <row r="76" spans="1:8" ht="26.25" customHeight="1" x14ac:dyDescent="0.45">
      <c r="A76" s="191" t="s">
        <v>82</v>
      </c>
      <c r="B76" s="286" t="s">
        <v>83</v>
      </c>
      <c r="C76" s="714" t="str">
        <f>B26</f>
        <v>TENOFOVIR DISOPROXIL FUMARATE</v>
      </c>
      <c r="D76" s="714"/>
      <c r="E76" s="287" t="s">
        <v>84</v>
      </c>
      <c r="F76" s="287"/>
      <c r="G76" s="288">
        <f>H72</f>
        <v>1.0181762280860442</v>
      </c>
      <c r="H76" s="289"/>
    </row>
    <row r="77" spans="1:8" ht="18" x14ac:dyDescent="0.35">
      <c r="A77" s="190" t="s">
        <v>85</v>
      </c>
      <c r="B77" s="190" t="s">
        <v>86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49" t="str">
        <f>B26</f>
        <v>TENOFOVIR DISOPROXIL FUMARATE</v>
      </c>
      <c r="C79" s="749"/>
    </row>
    <row r="80" spans="1:8" ht="26.25" customHeight="1" x14ac:dyDescent="0.45">
      <c r="A80" s="192" t="s">
        <v>25</v>
      </c>
      <c r="B80" s="749" t="str">
        <f>B27</f>
        <v>T11-6</v>
      </c>
      <c r="C80" s="749"/>
    </row>
    <row r="81" spans="1:12" ht="27" customHeight="1" x14ac:dyDescent="0.45">
      <c r="A81" s="192" t="s">
        <v>2</v>
      </c>
      <c r="B81" s="290">
        <f>B28</f>
        <v>98.8</v>
      </c>
      <c r="H81" s="488"/>
    </row>
    <row r="82" spans="1:12" s="579" customFormat="1" ht="27" customHeight="1" x14ac:dyDescent="0.5">
      <c r="A82" s="192" t="s">
        <v>26</v>
      </c>
      <c r="B82" s="194">
        <v>0</v>
      </c>
      <c r="C82" s="716" t="s">
        <v>27</v>
      </c>
      <c r="D82" s="717"/>
      <c r="E82" s="717"/>
      <c r="F82" s="717"/>
      <c r="G82" s="718"/>
      <c r="H82" s="488"/>
      <c r="I82" s="195"/>
      <c r="J82" s="195"/>
      <c r="K82" s="195"/>
      <c r="L82" s="195"/>
    </row>
    <row r="83" spans="1:12" s="579" customFormat="1" ht="19.5" customHeight="1" x14ac:dyDescent="0.35">
      <c r="A83" s="192" t="s">
        <v>28</v>
      </c>
      <c r="B83" s="196">
        <f>B81-B82</f>
        <v>98.8</v>
      </c>
      <c r="C83" s="197"/>
      <c r="D83" s="197"/>
      <c r="E83" s="197"/>
      <c r="F83" s="197"/>
      <c r="G83" s="198"/>
      <c r="H83" s="488"/>
      <c r="I83" s="195"/>
      <c r="J83" s="195"/>
      <c r="K83" s="195"/>
      <c r="L83" s="195"/>
    </row>
    <row r="84" spans="1:12" s="579" customFormat="1" ht="27" customHeight="1" x14ac:dyDescent="0.45">
      <c r="A84" s="192" t="s">
        <v>29</v>
      </c>
      <c r="B84" s="199">
        <v>1</v>
      </c>
      <c r="C84" s="719" t="s">
        <v>87</v>
      </c>
      <c r="D84" s="720"/>
      <c r="E84" s="720"/>
      <c r="F84" s="720"/>
      <c r="G84" s="720"/>
      <c r="H84" s="721"/>
      <c r="I84" s="195"/>
      <c r="J84" s="195"/>
      <c r="K84" s="195"/>
      <c r="L84" s="195"/>
    </row>
    <row r="85" spans="1:12" s="579" customFormat="1" ht="27" customHeight="1" x14ac:dyDescent="0.45">
      <c r="A85" s="192" t="s">
        <v>31</v>
      </c>
      <c r="B85" s="199">
        <v>1</v>
      </c>
      <c r="C85" s="719" t="s">
        <v>88</v>
      </c>
      <c r="D85" s="720"/>
      <c r="E85" s="720"/>
      <c r="F85" s="720"/>
      <c r="G85" s="720"/>
      <c r="H85" s="721"/>
      <c r="I85" s="195"/>
      <c r="J85" s="195"/>
      <c r="K85" s="195"/>
      <c r="L85" s="195"/>
    </row>
    <row r="86" spans="1:12" s="579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79" customFormat="1" ht="18" x14ac:dyDescent="0.35">
      <c r="A87" s="192" t="s">
        <v>33</v>
      </c>
      <c r="B87" s="203">
        <f>B84/B85</f>
        <v>1</v>
      </c>
      <c r="C87" s="182" t="s">
        <v>34</v>
      </c>
      <c r="D87" s="182"/>
      <c r="E87" s="182"/>
      <c r="F87" s="182"/>
      <c r="G87" s="182"/>
      <c r="H87" s="376"/>
      <c r="I87" s="376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35</v>
      </c>
      <c r="B89" s="205">
        <v>25</v>
      </c>
      <c r="D89" s="291" t="s">
        <v>36</v>
      </c>
      <c r="E89" s="292"/>
      <c r="F89" s="722" t="s">
        <v>37</v>
      </c>
      <c r="G89" s="723"/>
    </row>
    <row r="90" spans="1:12" ht="27" customHeight="1" x14ac:dyDescent="0.45">
      <c r="A90" s="206" t="s">
        <v>38</v>
      </c>
      <c r="B90" s="207">
        <v>10</v>
      </c>
      <c r="C90" s="293" t="s">
        <v>39</v>
      </c>
      <c r="D90" s="209" t="s">
        <v>40</v>
      </c>
      <c r="E90" s="210" t="s">
        <v>41</v>
      </c>
      <c r="F90" s="209" t="s">
        <v>40</v>
      </c>
      <c r="G90" s="294" t="s">
        <v>41</v>
      </c>
      <c r="I90" s="212" t="s">
        <v>42</v>
      </c>
    </row>
    <row r="91" spans="1:12" ht="26.25" customHeight="1" x14ac:dyDescent="0.45">
      <c r="A91" s="206" t="s">
        <v>43</v>
      </c>
      <c r="B91" s="207">
        <v>20</v>
      </c>
      <c r="C91" s="295">
        <v>1</v>
      </c>
      <c r="D91" s="214">
        <v>65776679</v>
      </c>
      <c r="E91" s="215">
        <f>IF(ISBLANK(D91),"-",$D$101/$D$98*D91)</f>
        <v>60596710.587732412</v>
      </c>
      <c r="F91" s="214">
        <v>63491314</v>
      </c>
      <c r="G91" s="216">
        <f>IF(ISBLANK(F91),"-",$D$101/$F$98*F91)</f>
        <v>61554083.87236882</v>
      </c>
      <c r="I91" s="217"/>
    </row>
    <row r="92" spans="1:12" ht="26.25" customHeight="1" x14ac:dyDescent="0.45">
      <c r="A92" s="206" t="s">
        <v>44</v>
      </c>
      <c r="B92" s="207">
        <v>1</v>
      </c>
      <c r="C92" s="279">
        <v>2</v>
      </c>
      <c r="D92" s="219">
        <v>65882628</v>
      </c>
      <c r="E92" s="220">
        <f>IF(ISBLANK(D92),"-",$D$101/$D$98*D92)</f>
        <v>60694316.015486822</v>
      </c>
      <c r="F92" s="219">
        <v>62322385</v>
      </c>
      <c r="G92" s="221">
        <f>IF(ISBLANK(F92),"-",$D$101/$F$98*F92)</f>
        <v>60420820.923883542</v>
      </c>
      <c r="I92" s="738">
        <f>ABS((F96/D96*D95)-F95)/D95</f>
        <v>7.0255305249610203E-3</v>
      </c>
    </row>
    <row r="93" spans="1:12" ht="26.25" customHeight="1" x14ac:dyDescent="0.45">
      <c r="A93" s="206" t="s">
        <v>45</v>
      </c>
      <c r="B93" s="207">
        <v>1</v>
      </c>
      <c r="C93" s="279">
        <v>3</v>
      </c>
      <c r="D93" s="219">
        <v>65759914</v>
      </c>
      <c r="E93" s="220">
        <f>IF(ISBLANK(D93),"-",$D$101/$D$98*D93)</f>
        <v>60581265.845485643</v>
      </c>
      <c r="F93" s="219">
        <v>63169453</v>
      </c>
      <c r="G93" s="221">
        <f>IF(ISBLANK(F93),"-",$D$101/$F$98*F93)</f>
        <v>61242043.409806572</v>
      </c>
      <c r="I93" s="738"/>
    </row>
    <row r="94" spans="1:12" ht="27" customHeight="1" x14ac:dyDescent="0.45">
      <c r="A94" s="206" t="s">
        <v>46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47</v>
      </c>
      <c r="B95" s="207">
        <v>1</v>
      </c>
      <c r="C95" s="298" t="s">
        <v>48</v>
      </c>
      <c r="D95" s="299">
        <f>AVERAGE(D91:D94)</f>
        <v>65806407</v>
      </c>
      <c r="E95" s="230">
        <f>AVERAGE(E91:E94)</f>
        <v>60624097.482901633</v>
      </c>
      <c r="F95" s="300">
        <f>AVERAGE(F91:F94)</f>
        <v>62994384</v>
      </c>
      <c r="G95" s="301">
        <f>AVERAGE(G91:G94)</f>
        <v>61072316.068686314</v>
      </c>
    </row>
    <row r="96" spans="1:12" ht="26.25" customHeight="1" x14ac:dyDescent="0.45">
      <c r="A96" s="206" t="s">
        <v>49</v>
      </c>
      <c r="B96" s="193">
        <v>1</v>
      </c>
      <c r="C96" s="302" t="s">
        <v>89</v>
      </c>
      <c r="D96" s="303">
        <v>16.48</v>
      </c>
      <c r="E96" s="222"/>
      <c r="F96" s="234">
        <f>15.66</f>
        <v>15.66</v>
      </c>
    </row>
    <row r="97" spans="1:10" ht="26.25" customHeight="1" x14ac:dyDescent="0.45">
      <c r="A97" s="206" t="s">
        <v>51</v>
      </c>
      <c r="B97" s="193">
        <v>1</v>
      </c>
      <c r="C97" s="304" t="s">
        <v>90</v>
      </c>
      <c r="D97" s="305">
        <f>D96*$B$87</f>
        <v>16.48</v>
      </c>
      <c r="E97" s="237"/>
      <c r="F97" s="236">
        <f>F96*$B$87</f>
        <v>15.66</v>
      </c>
    </row>
    <row r="98" spans="1:10" ht="19.5" customHeight="1" x14ac:dyDescent="0.35">
      <c r="A98" s="206" t="s">
        <v>53</v>
      </c>
      <c r="B98" s="306">
        <f>(B97/B96)*(B95/B94)*(B93/B92)*(B91/B90)*B89</f>
        <v>50</v>
      </c>
      <c r="C98" s="304" t="s">
        <v>91</v>
      </c>
      <c r="D98" s="307">
        <f>D97*$B$83/100</f>
        <v>16.282239999999998</v>
      </c>
      <c r="E98" s="240"/>
      <c r="F98" s="239">
        <f>F97*$B$83/100</f>
        <v>15.472079999999998</v>
      </c>
    </row>
    <row r="99" spans="1:10" ht="19.5" customHeight="1" x14ac:dyDescent="0.35">
      <c r="A99" s="724" t="s">
        <v>55</v>
      </c>
      <c r="B99" s="725"/>
      <c r="C99" s="304" t="s">
        <v>92</v>
      </c>
      <c r="D99" s="308">
        <f>D98/$B$98</f>
        <v>0.32564479999999996</v>
      </c>
      <c r="E99" s="240"/>
      <c r="F99" s="243">
        <f>F98/$B$98</f>
        <v>0.30944159999999998</v>
      </c>
      <c r="G99" s="309"/>
      <c r="H99" s="232"/>
    </row>
    <row r="100" spans="1:10" ht="19.5" customHeight="1" x14ac:dyDescent="0.35">
      <c r="A100" s="726"/>
      <c r="B100" s="727"/>
      <c r="C100" s="304" t="s">
        <v>57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58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59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93</v>
      </c>
      <c r="D103" s="316">
        <f>AVERAGE(E91:E94,G91:G94)</f>
        <v>60848206.77579397</v>
      </c>
      <c r="F103" s="252"/>
      <c r="G103" s="317"/>
      <c r="H103" s="232"/>
      <c r="J103" s="318"/>
    </row>
    <row r="104" spans="1:10" ht="18" x14ac:dyDescent="0.35">
      <c r="C104" s="282" t="s">
        <v>61</v>
      </c>
      <c r="D104" s="319">
        <f>STDEV(E91:E94,G91:G94)/D103</f>
        <v>7.328382935029876E-3</v>
      </c>
      <c r="F104" s="252"/>
      <c r="G104" s="309"/>
      <c r="H104" s="232"/>
      <c r="J104" s="318"/>
    </row>
    <row r="105" spans="1:10" ht="19.5" customHeight="1" x14ac:dyDescent="0.35">
      <c r="C105" s="284" t="s">
        <v>3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94</v>
      </c>
      <c r="B107" s="205">
        <v>1000</v>
      </c>
      <c r="C107" s="321" t="s">
        <v>121</v>
      </c>
      <c r="D107" s="322" t="s">
        <v>40</v>
      </c>
      <c r="E107" s="323" t="s">
        <v>95</v>
      </c>
      <c r="F107" s="324" t="s">
        <v>96</v>
      </c>
    </row>
    <row r="108" spans="1:10" ht="26.25" customHeight="1" x14ac:dyDescent="0.45">
      <c r="A108" s="206" t="s">
        <v>97</v>
      </c>
      <c r="B108" s="207">
        <v>1</v>
      </c>
      <c r="C108" s="325">
        <v>1</v>
      </c>
      <c r="D108" s="326">
        <v>59975442</v>
      </c>
      <c r="E108" s="356">
        <f t="shared" ref="E108:E113" si="1">IF(ISBLANK(D108),"-",D108/$D$103*$D$100*$B$116)</f>
        <v>295.69700659046617</v>
      </c>
      <c r="F108" s="327">
        <f t="shared" ref="F108:F113" si="2">IF(ISBLANK(D108), "-", E108/$B$56)</f>
        <v>0.9856566886348872</v>
      </c>
    </row>
    <row r="109" spans="1:10" ht="26.25" customHeight="1" x14ac:dyDescent="0.45">
      <c r="A109" s="206" t="s">
        <v>71</v>
      </c>
      <c r="B109" s="207">
        <v>1</v>
      </c>
      <c r="C109" s="325">
        <v>2</v>
      </c>
      <c r="D109" s="326">
        <v>63188808</v>
      </c>
      <c r="E109" s="357">
        <f t="shared" si="1"/>
        <v>311.5398695289266</v>
      </c>
      <c r="F109" s="328">
        <f t="shared" si="2"/>
        <v>1.0384662317630886</v>
      </c>
    </row>
    <row r="110" spans="1:10" ht="26.25" customHeight="1" x14ac:dyDescent="0.45">
      <c r="A110" s="206" t="s">
        <v>72</v>
      </c>
      <c r="B110" s="207">
        <v>1</v>
      </c>
      <c r="C110" s="325">
        <v>3</v>
      </c>
      <c r="D110" s="326">
        <v>62435870</v>
      </c>
      <c r="E110" s="357">
        <f t="shared" si="1"/>
        <v>307.8276582417098</v>
      </c>
      <c r="F110" s="328">
        <f t="shared" si="2"/>
        <v>1.0260921941390326</v>
      </c>
    </row>
    <row r="111" spans="1:10" ht="26.25" customHeight="1" x14ac:dyDescent="0.45">
      <c r="A111" s="206" t="s">
        <v>73</v>
      </c>
      <c r="B111" s="207">
        <v>1</v>
      </c>
      <c r="C111" s="325">
        <v>4</v>
      </c>
      <c r="D111" s="326">
        <v>60771284</v>
      </c>
      <c r="E111" s="357">
        <f t="shared" si="1"/>
        <v>299.62074752961541</v>
      </c>
      <c r="F111" s="328">
        <f t="shared" si="2"/>
        <v>0.99873582509871806</v>
      </c>
    </row>
    <row r="112" spans="1:10" ht="26.25" customHeight="1" x14ac:dyDescent="0.45">
      <c r="A112" s="206" t="s">
        <v>74</v>
      </c>
      <c r="B112" s="207">
        <v>1</v>
      </c>
      <c r="C112" s="325">
        <v>5</v>
      </c>
      <c r="D112" s="326">
        <v>62369009</v>
      </c>
      <c r="E112" s="357">
        <f t="shared" si="1"/>
        <v>307.49801335876521</v>
      </c>
      <c r="F112" s="328">
        <f t="shared" si="2"/>
        <v>1.0249933778625506</v>
      </c>
    </row>
    <row r="113" spans="1:10" ht="26.25" customHeight="1" x14ac:dyDescent="0.45">
      <c r="A113" s="206" t="s">
        <v>76</v>
      </c>
      <c r="B113" s="207">
        <v>1</v>
      </c>
      <c r="C113" s="329">
        <v>6</v>
      </c>
      <c r="D113" s="330">
        <v>60742503</v>
      </c>
      <c r="E113" s="358">
        <f t="shared" si="1"/>
        <v>299.47884852457469</v>
      </c>
      <c r="F113" s="331">
        <f t="shared" si="2"/>
        <v>0.99826282841524894</v>
      </c>
    </row>
    <row r="114" spans="1:10" ht="26.25" customHeight="1" x14ac:dyDescent="0.45">
      <c r="A114" s="206" t="s">
        <v>77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78</v>
      </c>
      <c r="B115" s="207">
        <v>1</v>
      </c>
      <c r="C115" s="325"/>
      <c r="D115" s="333" t="s">
        <v>48</v>
      </c>
      <c r="E115" s="360">
        <f>AVERAGE(E108:E113)</f>
        <v>303.61035729567624</v>
      </c>
      <c r="F115" s="334">
        <f>AVERAGE(F108:F113)</f>
        <v>1.0120345243189208</v>
      </c>
    </row>
    <row r="116" spans="1:10" ht="27" customHeight="1" x14ac:dyDescent="0.45">
      <c r="A116" s="206" t="s">
        <v>79</v>
      </c>
      <c r="B116" s="238">
        <f>(B115/B114)*(B113/B112)*(B111/B110)*(B109/B108)*B107</f>
        <v>1000</v>
      </c>
      <c r="C116" s="335"/>
      <c r="D116" s="697" t="s">
        <v>61</v>
      </c>
      <c r="E116" s="336">
        <f>STDEV(E108:E113)/E115</f>
        <v>2.037752232624546E-2</v>
      </c>
      <c r="F116" s="336">
        <f>STDEV(F108:F113)/F115</f>
        <v>2.0377522326245446E-2</v>
      </c>
      <c r="I116" s="181"/>
    </row>
    <row r="117" spans="1:10" ht="27" customHeight="1" x14ac:dyDescent="0.45">
      <c r="A117" s="724" t="s">
        <v>55</v>
      </c>
      <c r="B117" s="736"/>
      <c r="C117" s="337"/>
      <c r="D117" s="698" t="s">
        <v>3</v>
      </c>
      <c r="E117" s="338">
        <f>COUNT(E108:E113)</f>
        <v>6</v>
      </c>
      <c r="F117" s="338">
        <f>COUNT(F108:F113)</f>
        <v>6</v>
      </c>
      <c r="I117" s="181"/>
      <c r="J117" s="318"/>
    </row>
    <row r="118" spans="1:10" ht="19.5" customHeight="1" x14ac:dyDescent="0.35">
      <c r="A118" s="726"/>
      <c r="B118" s="737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7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82</v>
      </c>
      <c r="B120" s="286" t="s">
        <v>98</v>
      </c>
      <c r="C120" s="714" t="str">
        <f>B79</f>
        <v>TENOFOVIR DISOPROXIL FUMARATE</v>
      </c>
      <c r="D120" s="714"/>
      <c r="E120" s="287" t="s">
        <v>99</v>
      </c>
      <c r="F120" s="287"/>
      <c r="G120" s="288">
        <f>F115</f>
        <v>1.0120345243189208</v>
      </c>
      <c r="H120" s="181"/>
      <c r="I120" s="181"/>
    </row>
    <row r="121" spans="1:10" ht="19.5" customHeight="1" x14ac:dyDescent="0.35">
      <c r="A121" s="339"/>
      <c r="B121" s="339"/>
      <c r="C121" s="340"/>
      <c r="D121" s="340"/>
      <c r="E121" s="340"/>
      <c r="F121" s="340"/>
      <c r="G121" s="340"/>
      <c r="H121" s="340"/>
    </row>
    <row r="122" spans="1:10" ht="18" x14ac:dyDescent="0.35">
      <c r="B122" s="715" t="s">
        <v>4</v>
      </c>
      <c r="C122" s="715"/>
      <c r="E122" s="293" t="s">
        <v>5</v>
      </c>
      <c r="F122" s="341"/>
      <c r="G122" s="715" t="s">
        <v>6</v>
      </c>
      <c r="H122" s="715"/>
    </row>
    <row r="123" spans="1:10" ht="69.900000000000006" customHeight="1" x14ac:dyDescent="0.35">
      <c r="A123" s="342" t="s">
        <v>7</v>
      </c>
      <c r="B123" s="343"/>
      <c r="C123" s="343"/>
      <c r="E123" s="343"/>
      <c r="F123" s="181"/>
      <c r="G123" s="344"/>
      <c r="H123" s="344"/>
    </row>
    <row r="124" spans="1:10" ht="69.900000000000006" customHeight="1" x14ac:dyDescent="0.35">
      <c r="A124" s="342" t="s">
        <v>8</v>
      </c>
      <c r="B124" s="345"/>
      <c r="C124" s="345"/>
      <c r="E124" s="345"/>
      <c r="F124" s="181"/>
      <c r="G124" s="346"/>
      <c r="H124" s="346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6:H16"/>
    <mergeCell ref="A17:H17"/>
    <mergeCell ref="B21:H21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6" priority="1" operator="greaterThan">
      <formula>0.02</formula>
    </cfRule>
  </conditionalFormatting>
  <conditionalFormatting sqref="D51">
    <cfRule type="cellIs" dxfId="15" priority="2" operator="greaterThan">
      <formula>0.02</formula>
    </cfRule>
  </conditionalFormatting>
  <conditionalFormatting sqref="G73">
    <cfRule type="cellIs" dxfId="14" priority="3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70" zoomScalePageLayoutView="50" workbookViewId="0">
      <selection activeCell="H103" sqref="H103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2"/>
  </cols>
  <sheetData>
    <row r="1" spans="1:12" customFormat="1" ht="18.75" customHeight="1" x14ac:dyDescent="0.3">
      <c r="A1" s="734" t="s">
        <v>22</v>
      </c>
      <c r="B1" s="734"/>
      <c r="C1" s="734"/>
      <c r="D1" s="734"/>
      <c r="E1" s="734"/>
      <c r="F1" s="734"/>
      <c r="G1" s="734"/>
      <c r="H1" s="734"/>
      <c r="I1" s="734"/>
      <c r="J1" s="1"/>
      <c r="K1" s="1"/>
      <c r="L1" s="1"/>
    </row>
    <row r="2" spans="1:12" customFormat="1" ht="18.75" customHeigh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1"/>
      <c r="K2" s="1"/>
      <c r="L2" s="1"/>
    </row>
    <row r="3" spans="1:12" customFormat="1" ht="18.75" customHeight="1" x14ac:dyDescent="0.3">
      <c r="A3" s="734"/>
      <c r="B3" s="734"/>
      <c r="C3" s="734"/>
      <c r="D3" s="734"/>
      <c r="E3" s="734"/>
      <c r="F3" s="734"/>
      <c r="G3" s="734"/>
      <c r="H3" s="734"/>
      <c r="I3" s="734"/>
      <c r="J3" s="1"/>
      <c r="K3" s="1"/>
      <c r="L3" s="1"/>
    </row>
    <row r="4" spans="1:12" customFormat="1" ht="18.75" customHeight="1" x14ac:dyDescent="0.3">
      <c r="A4" s="734"/>
      <c r="B4" s="734"/>
      <c r="C4" s="734"/>
      <c r="D4" s="734"/>
      <c r="E4" s="734"/>
      <c r="F4" s="734"/>
      <c r="G4" s="734"/>
      <c r="H4" s="734"/>
      <c r="I4" s="734"/>
      <c r="J4" s="1"/>
      <c r="K4" s="1"/>
      <c r="L4" s="1"/>
    </row>
    <row r="5" spans="1:12" customFormat="1" ht="18.75" customHeight="1" x14ac:dyDescent="0.3">
      <c r="A5" s="734"/>
      <c r="B5" s="734"/>
      <c r="C5" s="734"/>
      <c r="D5" s="734"/>
      <c r="E5" s="734"/>
      <c r="F5" s="734"/>
      <c r="G5" s="734"/>
      <c r="H5" s="734"/>
      <c r="I5" s="734"/>
      <c r="J5" s="1"/>
      <c r="K5" s="1"/>
      <c r="L5" s="1"/>
    </row>
    <row r="6" spans="1:12" customFormat="1" ht="18.75" customHeight="1" x14ac:dyDescent="0.3">
      <c r="A6" s="734"/>
      <c r="B6" s="734"/>
      <c r="C6" s="734"/>
      <c r="D6" s="734"/>
      <c r="E6" s="734"/>
      <c r="F6" s="734"/>
      <c r="G6" s="734"/>
      <c r="H6" s="734"/>
      <c r="I6" s="734"/>
      <c r="J6" s="1"/>
      <c r="K6" s="1"/>
      <c r="L6" s="1"/>
    </row>
    <row r="7" spans="1:12" customFormat="1" ht="18.75" customHeight="1" x14ac:dyDescent="0.3">
      <c r="A7" s="734"/>
      <c r="B7" s="734"/>
      <c r="C7" s="734"/>
      <c r="D7" s="734"/>
      <c r="E7" s="734"/>
      <c r="F7" s="734"/>
      <c r="G7" s="734"/>
      <c r="H7" s="734"/>
      <c r="I7" s="734"/>
      <c r="J7" s="1"/>
      <c r="K7" s="1"/>
      <c r="L7" s="1"/>
    </row>
    <row r="8" spans="1:12" customFormat="1" x14ac:dyDescent="0.3">
      <c r="A8" s="735" t="s">
        <v>23</v>
      </c>
      <c r="B8" s="735"/>
      <c r="C8" s="735"/>
      <c r="D8" s="735"/>
      <c r="E8" s="735"/>
      <c r="F8" s="735"/>
      <c r="G8" s="735"/>
      <c r="H8" s="735"/>
      <c r="I8" s="735"/>
      <c r="J8" s="1"/>
      <c r="K8" s="1"/>
      <c r="L8" s="1"/>
    </row>
    <row r="9" spans="1:12" customFormat="1" x14ac:dyDescent="0.3">
      <c r="A9" s="735"/>
      <c r="B9" s="735"/>
      <c r="C9" s="735"/>
      <c r="D9" s="735"/>
      <c r="E9" s="735"/>
      <c r="F9" s="735"/>
      <c r="G9" s="735"/>
      <c r="H9" s="735"/>
      <c r="I9" s="735"/>
      <c r="J9" s="1"/>
      <c r="K9" s="1"/>
      <c r="L9" s="1"/>
    </row>
    <row r="10" spans="1:12" customFormat="1" x14ac:dyDescent="0.3">
      <c r="A10" s="735"/>
      <c r="B10" s="735"/>
      <c r="C10" s="735"/>
      <c r="D10" s="735"/>
      <c r="E10" s="735"/>
      <c r="F10" s="735"/>
      <c r="G10" s="735"/>
      <c r="H10" s="735"/>
      <c r="I10" s="735"/>
      <c r="J10" s="1"/>
      <c r="K10" s="1"/>
      <c r="L10" s="1"/>
    </row>
    <row r="11" spans="1:12" customFormat="1" x14ac:dyDescent="0.3">
      <c r="A11" s="735"/>
      <c r="B11" s="735"/>
      <c r="C11" s="735"/>
      <c r="D11" s="735"/>
      <c r="E11" s="735"/>
      <c r="F11" s="735"/>
      <c r="G11" s="735"/>
      <c r="H11" s="735"/>
      <c r="I11" s="735"/>
      <c r="J11" s="1"/>
      <c r="K11" s="1"/>
      <c r="L11" s="1"/>
    </row>
    <row r="12" spans="1:12" customFormat="1" x14ac:dyDescent="0.3">
      <c r="A12" s="735"/>
      <c r="B12" s="735"/>
      <c r="C12" s="735"/>
      <c r="D12" s="735"/>
      <c r="E12" s="735"/>
      <c r="F12" s="735"/>
      <c r="G12" s="735"/>
      <c r="H12" s="735"/>
      <c r="I12" s="735"/>
      <c r="J12" s="1"/>
      <c r="K12" s="1"/>
      <c r="L12" s="1"/>
    </row>
    <row r="13" spans="1:12" customFormat="1" x14ac:dyDescent="0.3">
      <c r="A13" s="735"/>
      <c r="B13" s="735"/>
      <c r="C13" s="735"/>
      <c r="D13" s="735"/>
      <c r="E13" s="735"/>
      <c r="F13" s="735"/>
      <c r="G13" s="735"/>
      <c r="H13" s="735"/>
      <c r="I13" s="735"/>
      <c r="J13" s="1"/>
      <c r="K13" s="1"/>
      <c r="L13" s="1"/>
    </row>
    <row r="14" spans="1:12" customFormat="1" x14ac:dyDescent="0.3">
      <c r="A14" s="735"/>
      <c r="B14" s="735"/>
      <c r="C14" s="735"/>
      <c r="D14" s="735"/>
      <c r="E14" s="735"/>
      <c r="F14" s="735"/>
      <c r="G14" s="735"/>
      <c r="H14" s="735"/>
      <c r="I14" s="735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5" t="s">
        <v>9</v>
      </c>
      <c r="B16" s="746"/>
      <c r="C16" s="746"/>
      <c r="D16" s="746"/>
      <c r="E16" s="746"/>
      <c r="F16" s="746"/>
      <c r="G16" s="746"/>
      <c r="H16" s="747"/>
      <c r="I16" s="1"/>
      <c r="J16" s="1"/>
      <c r="K16" s="1"/>
      <c r="L16" s="1"/>
    </row>
    <row r="17" spans="1:14" customFormat="1" ht="20.25" customHeight="1" x14ac:dyDescent="0.3">
      <c r="A17" s="748" t="s">
        <v>24</v>
      </c>
      <c r="B17" s="748"/>
      <c r="C17" s="748"/>
      <c r="D17" s="748"/>
      <c r="E17" s="748"/>
      <c r="F17" s="748"/>
      <c r="G17" s="748"/>
      <c r="H17" s="748"/>
      <c r="I17" s="1"/>
      <c r="J17" s="1"/>
      <c r="K17" s="1"/>
      <c r="L17" s="1"/>
    </row>
    <row r="18" spans="1:14" customFormat="1" ht="26.25" customHeight="1" x14ac:dyDescent="0.5">
      <c r="A18" s="5" t="s">
        <v>11</v>
      </c>
      <c r="B18" s="650" t="s">
        <v>126</v>
      </c>
      <c r="C18" s="650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12</v>
      </c>
      <c r="B19" s="8" t="s">
        <v>138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13</v>
      </c>
      <c r="B20" s="651" t="s">
        <v>127</v>
      </c>
      <c r="C20" s="651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14</v>
      </c>
      <c r="B21" s="651" t="s">
        <v>130</v>
      </c>
      <c r="C21" s="651"/>
      <c r="D21" s="651"/>
      <c r="E21" s="651"/>
      <c r="F21" s="651"/>
      <c r="G21" s="651"/>
      <c r="H21" s="651"/>
      <c r="I21" s="9"/>
      <c r="J21" s="1"/>
      <c r="K21" s="1"/>
      <c r="L21" s="1"/>
    </row>
    <row r="22" spans="1:14" customFormat="1" ht="26.25" customHeight="1" x14ac:dyDescent="0.5">
      <c r="A22" s="5" t="s">
        <v>15</v>
      </c>
      <c r="B22" s="10">
        <v>42495.458773148152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16</v>
      </c>
      <c r="B23" s="10">
        <v>42500.458773148152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77" t="s">
        <v>131</v>
      </c>
      <c r="C26" s="488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25</v>
      </c>
      <c r="B27" s="654" t="s">
        <v>100</v>
      </c>
      <c r="C27" s="488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79" customFormat="1" ht="27" customHeight="1" x14ac:dyDescent="0.5">
      <c r="A29" s="14" t="s">
        <v>26</v>
      </c>
      <c r="B29" s="16">
        <v>0</v>
      </c>
      <c r="C29" s="716" t="s">
        <v>27</v>
      </c>
      <c r="D29" s="717"/>
      <c r="E29" s="717"/>
      <c r="F29" s="717"/>
      <c r="G29" s="718"/>
      <c r="H29" s="2"/>
      <c r="I29" s="17"/>
      <c r="J29" s="17"/>
      <c r="K29" s="17"/>
      <c r="L29" s="17"/>
    </row>
    <row r="30" spans="1:14" s="579" customFormat="1" ht="19.5" customHeight="1" x14ac:dyDescent="0.35">
      <c r="A30" s="14" t="s">
        <v>28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79" customFormat="1" ht="27" customHeight="1" x14ac:dyDescent="0.45">
      <c r="A31" s="14" t="s">
        <v>29</v>
      </c>
      <c r="B31" s="21">
        <v>1</v>
      </c>
      <c r="C31" s="719" t="s">
        <v>30</v>
      </c>
      <c r="D31" s="720"/>
      <c r="E31" s="720"/>
      <c r="F31" s="720"/>
      <c r="G31" s="720"/>
      <c r="H31" s="721"/>
      <c r="I31" s="17"/>
      <c r="J31" s="17"/>
      <c r="K31" s="17"/>
      <c r="L31" s="17"/>
    </row>
    <row r="32" spans="1:14" s="579" customFormat="1" ht="27" customHeight="1" x14ac:dyDescent="0.45">
      <c r="A32" s="14" t="s">
        <v>31</v>
      </c>
      <c r="B32" s="21">
        <v>1</v>
      </c>
      <c r="C32" s="719" t="s">
        <v>32</v>
      </c>
      <c r="D32" s="720"/>
      <c r="E32" s="720"/>
      <c r="F32" s="720"/>
      <c r="G32" s="720"/>
      <c r="H32" s="721"/>
      <c r="I32" s="17"/>
      <c r="J32" s="17"/>
      <c r="K32" s="17"/>
      <c r="L32" s="22"/>
      <c r="M32" s="580"/>
      <c r="N32" s="581"/>
    </row>
    <row r="33" spans="1:14" s="579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80"/>
      <c r="N33" s="581"/>
    </row>
    <row r="34" spans="1:14" s="579" customFormat="1" ht="18" x14ac:dyDescent="0.35">
      <c r="A34" s="14" t="s">
        <v>33</v>
      </c>
      <c r="B34" s="25">
        <f>B31/B32</f>
        <v>1</v>
      </c>
      <c r="C34" s="4" t="s">
        <v>34</v>
      </c>
      <c r="D34" s="4"/>
      <c r="E34" s="4"/>
      <c r="F34" s="4"/>
      <c r="G34" s="4"/>
      <c r="I34" s="17"/>
      <c r="J34" s="17"/>
      <c r="K34" s="17"/>
      <c r="L34" s="22"/>
      <c r="M34" s="580"/>
      <c r="N34" s="581"/>
    </row>
    <row r="35" spans="1:14" s="579" customFormat="1" ht="19.5" customHeight="1" x14ac:dyDescent="0.35">
      <c r="A35" s="14"/>
      <c r="B35" s="18"/>
      <c r="C35" s="466"/>
      <c r="D35" s="466"/>
      <c r="E35" s="466"/>
      <c r="F35" s="466"/>
      <c r="G35" s="4"/>
      <c r="I35" s="17"/>
      <c r="J35" s="17"/>
      <c r="K35" s="17"/>
      <c r="L35" s="22"/>
      <c r="M35" s="580"/>
      <c r="N35" s="581"/>
    </row>
    <row r="36" spans="1:14" s="579" customFormat="1" ht="27" customHeight="1" x14ac:dyDescent="0.45">
      <c r="A36" s="26" t="s">
        <v>35</v>
      </c>
      <c r="B36" s="27">
        <v>25</v>
      </c>
      <c r="C36" s="4"/>
      <c r="D36" s="722" t="s">
        <v>36</v>
      </c>
      <c r="E36" s="744"/>
      <c r="F36" s="751" t="s">
        <v>37</v>
      </c>
      <c r="G36" s="752"/>
      <c r="I36" s="663"/>
      <c r="J36" s="17"/>
      <c r="K36" s="17"/>
      <c r="L36" s="22"/>
      <c r="M36" s="580"/>
      <c r="N36" s="581"/>
    </row>
    <row r="37" spans="1:14" s="579" customFormat="1" ht="27" customHeight="1" x14ac:dyDescent="0.45">
      <c r="A37" s="28" t="s">
        <v>38</v>
      </c>
      <c r="B37" s="29">
        <v>5</v>
      </c>
      <c r="C37" s="30" t="s">
        <v>39</v>
      </c>
      <c r="D37" s="31" t="s">
        <v>40</v>
      </c>
      <c r="E37" s="32" t="s">
        <v>41</v>
      </c>
      <c r="F37" s="667" t="s">
        <v>40</v>
      </c>
      <c r="G37" s="668" t="s">
        <v>41</v>
      </c>
      <c r="I37" s="664" t="s">
        <v>42</v>
      </c>
      <c r="J37" s="17"/>
      <c r="K37" s="17"/>
      <c r="L37" s="22"/>
      <c r="M37" s="580"/>
      <c r="N37" s="581"/>
    </row>
    <row r="38" spans="1:14" s="579" customFormat="1" ht="26.25" customHeight="1" x14ac:dyDescent="0.45">
      <c r="A38" s="28" t="s">
        <v>43</v>
      </c>
      <c r="B38" s="29">
        <v>50</v>
      </c>
      <c r="C38" s="34">
        <v>1</v>
      </c>
      <c r="D38" s="35">
        <v>45662253</v>
      </c>
      <c r="E38" s="36">
        <f>IF(ISBLANK(D38),"-",$D$48/$D$45*D38)</f>
        <v>47002530.147145867</v>
      </c>
      <c r="F38" s="669">
        <v>42965470</v>
      </c>
      <c r="G38" s="670">
        <f>IF(ISBLANK(F38),"-",$D$48/$F$45*F38)</f>
        <v>47013779.542636923</v>
      </c>
      <c r="I38" s="665"/>
      <c r="J38" s="17"/>
      <c r="K38" s="17"/>
      <c r="L38" s="22"/>
      <c r="M38" s="580"/>
      <c r="N38" s="581"/>
    </row>
    <row r="39" spans="1:14" s="579" customFormat="1" ht="26.25" customHeight="1" x14ac:dyDescent="0.45">
      <c r="A39" s="28" t="s">
        <v>44</v>
      </c>
      <c r="B39" s="29">
        <v>1</v>
      </c>
      <c r="C39" s="39">
        <v>2</v>
      </c>
      <c r="D39" s="40">
        <v>45597828</v>
      </c>
      <c r="E39" s="41">
        <f>IF(ISBLANK(D39),"-",$D$48/$D$45*D39)</f>
        <v>46936214.14638415</v>
      </c>
      <c r="F39" s="671">
        <v>42942842</v>
      </c>
      <c r="G39" s="672">
        <f>IF(ISBLANK(F39),"-",$D$48/$F$45*F39)</f>
        <v>46989019.47825288</v>
      </c>
      <c r="I39" s="753">
        <f>ABS((F43/D43*D42)-F42)/D42</f>
        <v>3.2606960292588962E-4</v>
      </c>
      <c r="J39" s="17"/>
      <c r="K39" s="17"/>
      <c r="L39" s="22"/>
      <c r="M39" s="580"/>
      <c r="N39" s="581"/>
    </row>
    <row r="40" spans="1:14" customFormat="1" ht="26.25" customHeight="1" x14ac:dyDescent="0.45">
      <c r="A40" s="28" t="s">
        <v>45</v>
      </c>
      <c r="B40" s="29">
        <v>1</v>
      </c>
      <c r="C40" s="39">
        <v>3</v>
      </c>
      <c r="D40" s="40">
        <v>45584053</v>
      </c>
      <c r="E40" s="41">
        <f>IF(ISBLANK(D40),"-",$D$48/$D$45*D40)</f>
        <v>46922034.8229772</v>
      </c>
      <c r="F40" s="671">
        <v>42867707</v>
      </c>
      <c r="G40" s="672">
        <f>IF(ISBLANK(F40),"-",$D$48/$F$45*F40)</f>
        <v>46906805.078504987</v>
      </c>
      <c r="H40" s="583"/>
      <c r="I40" s="753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46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73"/>
      <c r="G41" s="674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47</v>
      </c>
      <c r="B42" s="29">
        <v>1</v>
      </c>
      <c r="C42" s="49" t="s">
        <v>48</v>
      </c>
      <c r="D42" s="50">
        <f>AVERAGE(D38:D41)</f>
        <v>45614711.333333336</v>
      </c>
      <c r="E42" s="51">
        <f>AVERAGE(E38:E41)</f>
        <v>46953593.038835742</v>
      </c>
      <c r="F42" s="675">
        <f>AVERAGE(F38:F41)</f>
        <v>42925339.666666664</v>
      </c>
      <c r="G42" s="676">
        <f>AVERAGE(G38:G41)</f>
        <v>46969868.033131599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49</v>
      </c>
      <c r="B43" s="29">
        <v>1</v>
      </c>
      <c r="C43" s="53" t="s">
        <v>50</v>
      </c>
      <c r="D43" s="54">
        <v>29.35</v>
      </c>
      <c r="E43" s="43"/>
      <c r="F43" s="666">
        <v>27.61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51</v>
      </c>
      <c r="B44" s="29">
        <v>1</v>
      </c>
      <c r="C44" s="55" t="s">
        <v>52</v>
      </c>
      <c r="D44" s="56">
        <f>D43*$B$34</f>
        <v>29.35</v>
      </c>
      <c r="E44" s="57"/>
      <c r="F44" s="56">
        <f>F43*$B$34</f>
        <v>27.61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53</v>
      </c>
      <c r="B45" s="58">
        <f>(B44/B43)*(B42/B41)*(B40/B39)*(B38/B37)*B36</f>
        <v>250</v>
      </c>
      <c r="C45" s="55" t="s">
        <v>54</v>
      </c>
      <c r="D45" s="59">
        <f>D44*$B$30/100</f>
        <v>29.144549999999999</v>
      </c>
      <c r="E45" s="60"/>
      <c r="F45" s="59">
        <f>F44*$B$30/100</f>
        <v>27.416729999999998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24" t="s">
        <v>55</v>
      </c>
      <c r="B46" s="736"/>
      <c r="C46" s="55" t="s">
        <v>56</v>
      </c>
      <c r="D46" s="61">
        <f>D45/$B$45</f>
        <v>0.11657819999999999</v>
      </c>
      <c r="E46" s="62"/>
      <c r="F46" s="63">
        <f>F45/$B$45</f>
        <v>0.10966691999999999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26"/>
      <c r="B47" s="737"/>
      <c r="C47" s="64" t="s">
        <v>57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58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59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60</v>
      </c>
      <c r="D50" s="71">
        <f>AVERAGE(E38:E41,G38:G41)</f>
        <v>46961730.535983674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61</v>
      </c>
      <c r="D51" s="73">
        <f>STDEV(E38:E41,G38:G41)/D50</f>
        <v>9.6937862911232442E-4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3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62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63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64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137</v>
      </c>
      <c r="B57" s="168">
        <f>'Uniformity '!C44</f>
        <v>1890.8524999999997</v>
      </c>
      <c r="G57" s="658">
        <f>D47*F60/D50*B68*B69/D60/B56</f>
        <v>0.95232532111479007</v>
      </c>
      <c r="H57" s="81"/>
      <c r="K57" s="583"/>
    </row>
    <row r="58" spans="1:12" ht="19.5" customHeight="1" x14ac:dyDescent="0.35">
      <c r="H58" s="81"/>
      <c r="K58" s="583"/>
    </row>
    <row r="59" spans="1:12" s="579" customFormat="1" ht="27" customHeight="1" thickBot="1" x14ac:dyDescent="0.5">
      <c r="A59" s="26" t="s">
        <v>65</v>
      </c>
      <c r="B59" s="27">
        <v>200</v>
      </c>
      <c r="C59" s="4"/>
      <c r="D59" s="82" t="s">
        <v>66</v>
      </c>
      <c r="E59" s="83" t="s">
        <v>39</v>
      </c>
      <c r="F59" s="83" t="s">
        <v>40</v>
      </c>
      <c r="G59" s="83" t="s">
        <v>67</v>
      </c>
      <c r="H59" s="30" t="s">
        <v>68</v>
      </c>
      <c r="I59" s="2"/>
      <c r="L59" s="17"/>
    </row>
    <row r="60" spans="1:12" s="579" customFormat="1" ht="26.25" customHeight="1" x14ac:dyDescent="0.45">
      <c r="A60" s="28" t="s">
        <v>69</v>
      </c>
      <c r="B60" s="29">
        <v>5</v>
      </c>
      <c r="C60" s="728" t="s">
        <v>70</v>
      </c>
      <c r="D60" s="731">
        <v>1891.31</v>
      </c>
      <c r="E60" s="84">
        <v>1</v>
      </c>
      <c r="F60" s="85">
        <v>44733666</v>
      </c>
      <c r="G60" s="169">
        <f>IF(ISBLANK(F60),"-",(F60/$D$50*$D$47*$B$68)*($B$57/$D$60))</f>
        <v>571.39519266887407</v>
      </c>
      <c r="H60" s="86">
        <f>IF(ISBLANK(F60),"-",G60/$B$56)</f>
        <v>0.95232532111479007</v>
      </c>
      <c r="I60" s="2"/>
      <c r="L60" s="17"/>
    </row>
    <row r="61" spans="1:12" s="579" customFormat="1" ht="26.25" customHeight="1" x14ac:dyDescent="0.45">
      <c r="A61" s="28" t="s">
        <v>71</v>
      </c>
      <c r="B61" s="29">
        <v>50</v>
      </c>
      <c r="C61" s="729"/>
      <c r="D61" s="732"/>
      <c r="E61" s="87">
        <v>2</v>
      </c>
      <c r="F61" s="40">
        <v>44531687</v>
      </c>
      <c r="G61" s="170">
        <f>IF(ISBLANK(F61),"-",(F61/$D$50*$D$47*$B$68)*($B$57/$D$60))</f>
        <v>568.81526037313802</v>
      </c>
      <c r="H61" s="88">
        <f>IF(ISBLANK(F61),"-",G61/$B$56)</f>
        <v>0.94802543395522998</v>
      </c>
      <c r="I61" s="2"/>
      <c r="L61" s="17"/>
    </row>
    <row r="62" spans="1:12" s="579" customFormat="1" ht="26.25" customHeight="1" x14ac:dyDescent="0.45">
      <c r="A62" s="28" t="s">
        <v>72</v>
      </c>
      <c r="B62" s="29">
        <v>10</v>
      </c>
      <c r="C62" s="729"/>
      <c r="D62" s="732"/>
      <c r="E62" s="87">
        <v>3</v>
      </c>
      <c r="F62" s="89">
        <v>44767046</v>
      </c>
      <c r="G62" s="170">
        <f>IF(ISBLANK(F62),"-",(F62/$D$50*$D$47*$B$68)*($B$57/$D$60))</f>
        <v>571.82156442054963</v>
      </c>
      <c r="H62" s="88">
        <f>IF(ISBLANK(F62),"-",G62/$B$56)</f>
        <v>0.95303594070091602</v>
      </c>
      <c r="I62" s="2"/>
      <c r="L62" s="17"/>
    </row>
    <row r="63" spans="1:12" ht="27" customHeight="1" thickBot="1" x14ac:dyDescent="0.5">
      <c r="A63" s="28" t="s">
        <v>73</v>
      </c>
      <c r="B63" s="29">
        <v>25</v>
      </c>
      <c r="C63" s="730"/>
      <c r="D63" s="733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83"/>
      <c r="K63" s="583"/>
    </row>
    <row r="64" spans="1:12" ht="26.25" customHeight="1" x14ac:dyDescent="0.45">
      <c r="A64" s="28" t="s">
        <v>74</v>
      </c>
      <c r="B64" s="29">
        <v>1</v>
      </c>
      <c r="C64" s="728" t="s">
        <v>75</v>
      </c>
      <c r="D64" s="731">
        <v>1887.82</v>
      </c>
      <c r="E64" s="84">
        <v>1</v>
      </c>
      <c r="F64" s="85">
        <v>45324494</v>
      </c>
      <c r="G64" s="171">
        <f>IF(ISBLANK(F64),"-",(F64/$D$50*$D$47*$B$68)*($B$57/$D$64))</f>
        <v>580.01228435634835</v>
      </c>
      <c r="H64" s="92">
        <f>IF(ISBLANK(F64),"-",G64/$B$56)</f>
        <v>0.96668714059391392</v>
      </c>
    </row>
    <row r="65" spans="1:8" ht="26.25" customHeight="1" x14ac:dyDescent="0.45">
      <c r="A65" s="28" t="s">
        <v>76</v>
      </c>
      <c r="B65" s="29">
        <v>1</v>
      </c>
      <c r="C65" s="729"/>
      <c r="D65" s="732"/>
      <c r="E65" s="87">
        <v>2</v>
      </c>
      <c r="F65" s="40">
        <v>45067972</v>
      </c>
      <c r="G65" s="172">
        <f>IF(ISBLANK(F65),"-",(F65/$D$50*$D$47*$B$68)*($B$57/$D$64))</f>
        <v>576.72960212259511</v>
      </c>
      <c r="H65" s="93">
        <f>IF(ISBLANK(F65),"-",G65/$B$56)</f>
        <v>0.96121600353765857</v>
      </c>
    </row>
    <row r="66" spans="1:8" ht="26.25" customHeight="1" x14ac:dyDescent="0.45">
      <c r="A66" s="28" t="s">
        <v>77</v>
      </c>
      <c r="B66" s="29">
        <v>1</v>
      </c>
      <c r="C66" s="729"/>
      <c r="D66" s="732"/>
      <c r="E66" s="87">
        <v>3</v>
      </c>
      <c r="F66" s="40">
        <v>45204642</v>
      </c>
      <c r="G66" s="172">
        <f>IF(ISBLANK(F66),"-",(F66/$D$50*$D$47*$B$68)*($B$57/$D$64))</f>
        <v>578.47855223559543</v>
      </c>
      <c r="H66" s="93">
        <f>IF(ISBLANK(F66),"-",G66/$B$56)</f>
        <v>0.96413092039265902</v>
      </c>
    </row>
    <row r="67" spans="1:8" ht="27" customHeight="1" thickBot="1" x14ac:dyDescent="0.5">
      <c r="A67" s="28" t="s">
        <v>78</v>
      </c>
      <c r="B67" s="29">
        <v>1</v>
      </c>
      <c r="C67" s="730"/>
      <c r="D67" s="733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79</v>
      </c>
      <c r="B68" s="95">
        <f>(B67/B66)*(B65/B64)*(B63/B62)*(B61/B60)*B59</f>
        <v>5000</v>
      </c>
      <c r="C68" s="728" t="s">
        <v>80</v>
      </c>
      <c r="D68" s="731">
        <v>1889.91</v>
      </c>
      <c r="E68" s="84">
        <v>1</v>
      </c>
      <c r="F68" s="85">
        <v>45139914</v>
      </c>
      <c r="G68" s="171">
        <f>IF(ISBLANK(F68),"-",(F68/$D$50*$D$47*$B$68)*($B$57/$D$68))</f>
        <v>577.01142787506524</v>
      </c>
      <c r="H68" s="88">
        <f t="shared" si="0"/>
        <v>0.96168571312510875</v>
      </c>
    </row>
    <row r="69" spans="1:8" ht="27" customHeight="1" x14ac:dyDescent="0.5">
      <c r="A69" s="74" t="s">
        <v>81</v>
      </c>
      <c r="B69" s="96">
        <f>(D47*B68)/B56*B57</f>
        <v>1890.8524999999997</v>
      </c>
      <c r="C69" s="729"/>
      <c r="D69" s="732"/>
      <c r="E69" s="87">
        <v>2</v>
      </c>
      <c r="F69" s="40">
        <v>45090106</v>
      </c>
      <c r="G69" s="172">
        <f>IF(ISBLANK(F69),"-",(F69/$D$50*$D$47*$B$68)*($B$57/$D$68))</f>
        <v>576.37474555441213</v>
      </c>
      <c r="H69" s="88">
        <f t="shared" si="0"/>
        <v>0.96062457592402017</v>
      </c>
    </row>
    <row r="70" spans="1:8" ht="26.25" customHeight="1" x14ac:dyDescent="0.45">
      <c r="A70" s="740" t="s">
        <v>55</v>
      </c>
      <c r="B70" s="741"/>
      <c r="C70" s="729"/>
      <c r="D70" s="732"/>
      <c r="E70" s="87">
        <v>3</v>
      </c>
      <c r="F70" s="40">
        <v>44847767</v>
      </c>
      <c r="G70" s="172">
        <f>IF(ISBLANK(F70),"-",(F70/$D$50*$D$47*$B$68)*($B$57/$D$68))</f>
        <v>573.27699103897794</v>
      </c>
      <c r="H70" s="88">
        <f t="shared" si="0"/>
        <v>0.95546165173162989</v>
      </c>
    </row>
    <row r="71" spans="1:8" ht="27" customHeight="1" x14ac:dyDescent="0.45">
      <c r="A71" s="742"/>
      <c r="B71" s="743"/>
      <c r="C71" s="739"/>
      <c r="D71" s="733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48</v>
      </c>
      <c r="G72" s="178">
        <f>AVERAGE(G60:G71)</f>
        <v>574.87951340506174</v>
      </c>
      <c r="H72" s="101">
        <f>AVERAGE(H60:H71)</f>
        <v>0.95813252234176949</v>
      </c>
    </row>
    <row r="73" spans="1:8" ht="26.25" customHeight="1" x14ac:dyDescent="0.45">
      <c r="C73" s="98"/>
      <c r="D73" s="98"/>
      <c r="E73" s="98"/>
      <c r="F73" s="102" t="s">
        <v>61</v>
      </c>
      <c r="G73" s="174">
        <f>STDEV(G60:G71)/G72</f>
        <v>6.460087305765078E-3</v>
      </c>
      <c r="H73" s="174">
        <f>STDEV(H60:H71)/H72</f>
        <v>6.4600873057651014E-3</v>
      </c>
    </row>
    <row r="74" spans="1:8" ht="27" customHeight="1" x14ac:dyDescent="0.45">
      <c r="A74" s="98"/>
      <c r="B74" s="98"/>
      <c r="C74" s="99"/>
      <c r="D74" s="99"/>
      <c r="E74" s="103"/>
      <c r="F74" s="104" t="s">
        <v>3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82</v>
      </c>
      <c r="B76" s="106" t="s">
        <v>83</v>
      </c>
      <c r="C76" s="714" t="str">
        <f>B26</f>
        <v>EFAVIRENZ</v>
      </c>
      <c r="D76" s="714"/>
      <c r="E76" s="107" t="s">
        <v>84</v>
      </c>
      <c r="F76" s="107"/>
      <c r="G76" s="108">
        <f>H72</f>
        <v>0.95813252234176949</v>
      </c>
      <c r="H76" s="109"/>
    </row>
    <row r="77" spans="1:8" ht="18" x14ac:dyDescent="0.35">
      <c r="A77" s="12" t="s">
        <v>85</v>
      </c>
      <c r="B77" s="12" t="s">
        <v>86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69" t="str">
        <f>B26</f>
        <v>EFAVIRENZ</v>
      </c>
      <c r="C79" s="488"/>
    </row>
    <row r="80" spans="1:8" ht="26.25" customHeight="1" x14ac:dyDescent="0.45">
      <c r="A80" s="14" t="s">
        <v>25</v>
      </c>
      <c r="B80" s="469" t="str">
        <f>B27</f>
        <v>E15-3</v>
      </c>
      <c r="C80" s="488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79" customFormat="1" ht="27" customHeight="1" x14ac:dyDescent="0.5">
      <c r="A82" s="14" t="s">
        <v>26</v>
      </c>
      <c r="B82" s="16">
        <v>0</v>
      </c>
      <c r="C82" s="716" t="s">
        <v>27</v>
      </c>
      <c r="D82" s="717"/>
      <c r="E82" s="717"/>
      <c r="F82" s="717"/>
      <c r="G82" s="718"/>
      <c r="H82" s="488"/>
      <c r="I82" s="17"/>
      <c r="J82" s="17"/>
      <c r="K82" s="17"/>
      <c r="L82" s="17"/>
    </row>
    <row r="83" spans="1:12" s="579" customFormat="1" ht="19.5" customHeight="1" x14ac:dyDescent="0.35">
      <c r="A83" s="14" t="s">
        <v>28</v>
      </c>
      <c r="B83" s="18">
        <f>B81-B82</f>
        <v>99.3</v>
      </c>
      <c r="C83" s="19"/>
      <c r="D83" s="19"/>
      <c r="E83" s="19"/>
      <c r="F83" s="19"/>
      <c r="G83" s="20"/>
      <c r="H83" s="488"/>
      <c r="I83" s="17"/>
      <c r="J83" s="17"/>
      <c r="K83" s="17"/>
      <c r="L83" s="17"/>
    </row>
    <row r="84" spans="1:12" s="579" customFormat="1" ht="27" customHeight="1" x14ac:dyDescent="0.45">
      <c r="A84" s="14" t="s">
        <v>29</v>
      </c>
      <c r="B84" s="21">
        <v>1</v>
      </c>
      <c r="C84" s="719" t="s">
        <v>87</v>
      </c>
      <c r="D84" s="720"/>
      <c r="E84" s="720"/>
      <c r="F84" s="720"/>
      <c r="G84" s="720"/>
      <c r="H84" s="721"/>
      <c r="I84" s="17"/>
      <c r="J84" s="17"/>
      <c r="K84" s="17"/>
      <c r="L84" s="17"/>
    </row>
    <row r="85" spans="1:12" s="579" customFormat="1" ht="27" customHeight="1" x14ac:dyDescent="0.45">
      <c r="A85" s="14" t="s">
        <v>31</v>
      </c>
      <c r="B85" s="21">
        <v>1</v>
      </c>
      <c r="C85" s="719" t="s">
        <v>88</v>
      </c>
      <c r="D85" s="720"/>
      <c r="E85" s="720"/>
      <c r="F85" s="720"/>
      <c r="G85" s="720"/>
      <c r="H85" s="721"/>
      <c r="I85" s="17"/>
      <c r="J85" s="17"/>
      <c r="K85" s="17"/>
      <c r="L85" s="17"/>
    </row>
    <row r="86" spans="1:12" s="579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79" customFormat="1" ht="18" x14ac:dyDescent="0.35">
      <c r="A87" s="14" t="s">
        <v>33</v>
      </c>
      <c r="B87" s="25">
        <f>B84/B85</f>
        <v>1</v>
      </c>
      <c r="C87" s="4" t="s">
        <v>34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35</v>
      </c>
      <c r="B89" s="27">
        <v>25</v>
      </c>
      <c r="D89" s="111" t="s">
        <v>36</v>
      </c>
      <c r="E89" s="112"/>
      <c r="F89" s="722" t="s">
        <v>37</v>
      </c>
      <c r="G89" s="723"/>
    </row>
    <row r="90" spans="1:12" ht="27" customHeight="1" x14ac:dyDescent="0.45">
      <c r="A90" s="28" t="s">
        <v>38</v>
      </c>
      <c r="B90" s="29">
        <v>10</v>
      </c>
      <c r="C90" s="113" t="s">
        <v>39</v>
      </c>
      <c r="D90" s="31" t="s">
        <v>40</v>
      </c>
      <c r="E90" s="32" t="s">
        <v>41</v>
      </c>
      <c r="F90" s="31" t="s">
        <v>40</v>
      </c>
      <c r="G90" s="114" t="s">
        <v>41</v>
      </c>
      <c r="I90" s="33" t="s">
        <v>42</v>
      </c>
    </row>
    <row r="91" spans="1:12" ht="26.25" customHeight="1" x14ac:dyDescent="0.45">
      <c r="A91" s="28" t="s">
        <v>43</v>
      </c>
      <c r="B91" s="29">
        <v>20</v>
      </c>
      <c r="C91" s="115">
        <v>1</v>
      </c>
      <c r="D91" s="35">
        <v>185856098</v>
      </c>
      <c r="E91" s="36">
        <f>IF(ISBLANK(D91),"-",$D$101/$D$98*D91)</f>
        <v>203367904.92520446</v>
      </c>
      <c r="F91" s="35">
        <v>197025667</v>
      </c>
      <c r="G91" s="37">
        <f>IF(ISBLANK(F91),"-",$D$101/$F$98*F91)</f>
        <v>202808758.75592524</v>
      </c>
      <c r="I91" s="38"/>
    </row>
    <row r="92" spans="1:12" ht="26.25" customHeight="1" x14ac:dyDescent="0.45">
      <c r="A92" s="28" t="s">
        <v>44</v>
      </c>
      <c r="B92" s="29">
        <v>1</v>
      </c>
      <c r="C92" s="99">
        <v>2</v>
      </c>
      <c r="D92" s="40">
        <v>186186620</v>
      </c>
      <c r="E92" s="41">
        <f>IF(ISBLANK(D92),"-",$D$101/$D$98*D92)</f>
        <v>203729569.50008264</v>
      </c>
      <c r="F92" s="40">
        <v>193873415</v>
      </c>
      <c r="G92" s="42">
        <f>IF(ISBLANK(F92),"-",$D$101/$F$98*F92)</f>
        <v>199563981.94516644</v>
      </c>
      <c r="I92" s="738">
        <f>ABS((F96/D96*D95)-F95)/D95</f>
        <v>1.0589701234489617E-2</v>
      </c>
    </row>
    <row r="93" spans="1:12" ht="26.25" customHeight="1" x14ac:dyDescent="0.45">
      <c r="A93" s="28" t="s">
        <v>45</v>
      </c>
      <c r="B93" s="29">
        <v>1</v>
      </c>
      <c r="C93" s="99">
        <v>3</v>
      </c>
      <c r="D93" s="40">
        <v>186050291</v>
      </c>
      <c r="E93" s="41">
        <f>IF(ISBLANK(D93),"-",$D$101/$D$98*D93)</f>
        <v>203580395.25501403</v>
      </c>
      <c r="F93" s="40">
        <v>196455270</v>
      </c>
      <c r="G93" s="42">
        <f>IF(ISBLANK(F93),"-",$D$101/$F$98*F93)</f>
        <v>202221619.47945672</v>
      </c>
      <c r="I93" s="738"/>
    </row>
    <row r="94" spans="1:12" ht="27" customHeight="1" x14ac:dyDescent="0.45">
      <c r="A94" s="28" t="s">
        <v>46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47</v>
      </c>
      <c r="B95" s="29">
        <v>1</v>
      </c>
      <c r="C95" s="118" t="s">
        <v>48</v>
      </c>
      <c r="D95" s="119">
        <f>AVERAGE(D91:D94)</f>
        <v>186031003</v>
      </c>
      <c r="E95" s="51">
        <f>AVERAGE(E91:E94)</f>
        <v>203559289.89343372</v>
      </c>
      <c r="F95" s="120">
        <f>AVERAGE(F91:F94)</f>
        <v>195784784</v>
      </c>
      <c r="G95" s="121">
        <f>AVERAGE(G91:G94)</f>
        <v>201531453.39351615</v>
      </c>
    </row>
    <row r="96" spans="1:12" ht="26.25" customHeight="1" x14ac:dyDescent="0.45">
      <c r="A96" s="28" t="s">
        <v>49</v>
      </c>
      <c r="B96" s="15">
        <v>1</v>
      </c>
      <c r="C96" s="122" t="s">
        <v>89</v>
      </c>
      <c r="D96" s="123">
        <f>F43</f>
        <v>27.61</v>
      </c>
      <c r="E96" s="43"/>
      <c r="F96" s="54">
        <f>D43</f>
        <v>29.35</v>
      </c>
    </row>
    <row r="97" spans="1:10" ht="26.25" customHeight="1" x14ac:dyDescent="0.45">
      <c r="A97" s="28" t="s">
        <v>51</v>
      </c>
      <c r="B97" s="15">
        <v>1</v>
      </c>
      <c r="C97" s="124" t="s">
        <v>90</v>
      </c>
      <c r="D97" s="125">
        <f>D96*$B$87</f>
        <v>27.61</v>
      </c>
      <c r="E97" s="57"/>
      <c r="F97" s="56">
        <f>F96*$B$87</f>
        <v>29.35</v>
      </c>
    </row>
    <row r="98" spans="1:10" ht="19.5" customHeight="1" x14ac:dyDescent="0.35">
      <c r="A98" s="28" t="s">
        <v>53</v>
      </c>
      <c r="B98" s="126">
        <f>(B97/B96)*(B95/B94)*(B93/B92)*(B91/B90)*B89</f>
        <v>50</v>
      </c>
      <c r="C98" s="124" t="s">
        <v>91</v>
      </c>
      <c r="D98" s="127">
        <f>D97*$B$83/100</f>
        <v>27.416729999999998</v>
      </c>
      <c r="E98" s="60"/>
      <c r="F98" s="59">
        <f>F97*$B$83/100</f>
        <v>29.144549999999999</v>
      </c>
    </row>
    <row r="99" spans="1:10" ht="19.5" customHeight="1" x14ac:dyDescent="0.35">
      <c r="A99" s="724" t="s">
        <v>55</v>
      </c>
      <c r="B99" s="725"/>
      <c r="C99" s="124" t="s">
        <v>56</v>
      </c>
      <c r="D99" s="128">
        <f>D98/$B$98</f>
        <v>0.54833460000000001</v>
      </c>
      <c r="E99" s="60"/>
      <c r="F99" s="63">
        <f>F98/$B$98</f>
        <v>0.58289099999999994</v>
      </c>
      <c r="G99" s="129"/>
      <c r="H99" s="52"/>
    </row>
    <row r="100" spans="1:10" ht="19.5" customHeight="1" x14ac:dyDescent="0.35">
      <c r="A100" s="726"/>
      <c r="B100" s="727"/>
      <c r="C100" s="124" t="s">
        <v>57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58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59</v>
      </c>
      <c r="D102" s="133">
        <f>D101/B34</f>
        <v>30</v>
      </c>
      <c r="F102" s="72"/>
      <c r="G102" s="129"/>
      <c r="H102" s="52"/>
      <c r="J102" s="134"/>
    </row>
    <row r="103" spans="1:10" ht="18" x14ac:dyDescent="0.35">
      <c r="C103" s="135" t="s">
        <v>93</v>
      </c>
      <c r="D103" s="136">
        <f>AVERAGE(E91:E94,G91:G94)</f>
        <v>202545371.64347494</v>
      </c>
      <c r="F103" s="678">
        <f>D108/D103*D100*B116/B56</f>
        <v>0.99796338153704633</v>
      </c>
      <c r="G103" s="137"/>
      <c r="H103" s="52"/>
      <c r="J103" s="138"/>
    </row>
    <row r="104" spans="1:10" ht="18" x14ac:dyDescent="0.35">
      <c r="C104" s="102" t="s">
        <v>61</v>
      </c>
      <c r="D104" s="139">
        <f>STDEV(E91:E94,G91:G94)/D103</f>
        <v>7.716216872338518E-3</v>
      </c>
      <c r="F104" s="72"/>
      <c r="G104" s="129"/>
      <c r="H104" s="52"/>
      <c r="J104" s="138"/>
    </row>
    <row r="105" spans="1:10" ht="19.5" customHeight="1" x14ac:dyDescent="0.35">
      <c r="C105" s="104" t="s">
        <v>3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94</v>
      </c>
      <c r="B107" s="27">
        <v>1000</v>
      </c>
      <c r="C107" s="141" t="s">
        <v>121</v>
      </c>
      <c r="D107" s="142" t="s">
        <v>40</v>
      </c>
      <c r="E107" s="143" t="s">
        <v>95</v>
      </c>
      <c r="F107" s="144" t="s">
        <v>96</v>
      </c>
    </row>
    <row r="108" spans="1:10" ht="26.25" customHeight="1" x14ac:dyDescent="0.45">
      <c r="A108" s="28" t="s">
        <v>97</v>
      </c>
      <c r="B108" s="29">
        <v>1</v>
      </c>
      <c r="C108" s="145">
        <v>1</v>
      </c>
      <c r="D108" s="146">
        <v>202132864</v>
      </c>
      <c r="E108" s="175">
        <f t="shared" ref="E108:E113" si="1">IF(ISBLANK(D108),"-",D108/$D$103*$D$100*$B$116)</f>
        <v>598.7780289222278</v>
      </c>
      <c r="F108" s="147">
        <f t="shared" ref="F108:F113" si="2">IF(ISBLANK(D108), "-", E108/$B$56)</f>
        <v>0.99796338153704633</v>
      </c>
    </row>
    <row r="109" spans="1:10" ht="26.25" customHeight="1" x14ac:dyDescent="0.45">
      <c r="A109" s="28" t="s">
        <v>71</v>
      </c>
      <c r="B109" s="29">
        <v>1</v>
      </c>
      <c r="C109" s="145">
        <v>2</v>
      </c>
      <c r="D109" s="146">
        <v>193434546</v>
      </c>
      <c r="E109" s="176">
        <f t="shared" si="1"/>
        <v>573.01100814237702</v>
      </c>
      <c r="F109" s="148">
        <f t="shared" si="2"/>
        <v>0.9550183469039617</v>
      </c>
    </row>
    <row r="110" spans="1:10" ht="26.25" customHeight="1" x14ac:dyDescent="0.45">
      <c r="A110" s="28" t="s">
        <v>72</v>
      </c>
      <c r="B110" s="29">
        <v>1</v>
      </c>
      <c r="C110" s="145">
        <v>3</v>
      </c>
      <c r="D110" s="146">
        <v>195567266</v>
      </c>
      <c r="E110" s="176">
        <f t="shared" si="1"/>
        <v>579.32876297240318</v>
      </c>
      <c r="F110" s="148">
        <f t="shared" si="2"/>
        <v>0.96554793828733865</v>
      </c>
    </row>
    <row r="111" spans="1:10" ht="26.25" customHeight="1" x14ac:dyDescent="0.45">
      <c r="A111" s="28" t="s">
        <v>73</v>
      </c>
      <c r="B111" s="29">
        <v>1</v>
      </c>
      <c r="C111" s="145">
        <v>4</v>
      </c>
      <c r="D111" s="146">
        <v>194508042</v>
      </c>
      <c r="E111" s="176">
        <f t="shared" si="1"/>
        <v>576.19102452474965</v>
      </c>
      <c r="F111" s="148">
        <f t="shared" si="2"/>
        <v>0.9603183742079161</v>
      </c>
    </row>
    <row r="112" spans="1:10" ht="26.25" customHeight="1" x14ac:dyDescent="0.45">
      <c r="A112" s="28" t="s">
        <v>74</v>
      </c>
      <c r="B112" s="29">
        <v>1</v>
      </c>
      <c r="C112" s="145">
        <v>5</v>
      </c>
      <c r="D112" s="146">
        <v>195192765</v>
      </c>
      <c r="E112" s="176">
        <f t="shared" si="1"/>
        <v>578.21937894562063</v>
      </c>
      <c r="F112" s="148">
        <f t="shared" si="2"/>
        <v>0.96369896490936768</v>
      </c>
    </row>
    <row r="113" spans="1:10" ht="26.25" customHeight="1" x14ac:dyDescent="0.45">
      <c r="A113" s="28" t="s">
        <v>76</v>
      </c>
      <c r="B113" s="29">
        <v>1</v>
      </c>
      <c r="C113" s="149">
        <v>6</v>
      </c>
      <c r="D113" s="150">
        <v>194333457</v>
      </c>
      <c r="E113" s="177">
        <f t="shared" si="1"/>
        <v>575.67385151235226</v>
      </c>
      <c r="F113" s="151">
        <f t="shared" si="2"/>
        <v>0.95945641918725377</v>
      </c>
    </row>
    <row r="114" spans="1:10" ht="26.25" customHeight="1" x14ac:dyDescent="0.45">
      <c r="A114" s="28" t="s">
        <v>77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78</v>
      </c>
      <c r="B115" s="29">
        <v>1</v>
      </c>
      <c r="C115" s="145"/>
      <c r="D115" s="699" t="s">
        <v>48</v>
      </c>
      <c r="E115" s="179">
        <f>AVERAGE(E108:E113)</f>
        <v>580.20034250328843</v>
      </c>
      <c r="F115" s="153">
        <f>AVERAGE(F108:F113)</f>
        <v>0.96700057083881408</v>
      </c>
    </row>
    <row r="116" spans="1:10" ht="27" customHeight="1" x14ac:dyDescent="0.45">
      <c r="A116" s="28" t="s">
        <v>79</v>
      </c>
      <c r="B116" s="58">
        <f>(B115/B114)*(B113/B112)*(B111/B110)*(B109/B108)*B107</f>
        <v>1000</v>
      </c>
      <c r="C116" s="154"/>
      <c r="D116" s="700" t="s">
        <v>61</v>
      </c>
      <c r="E116" s="155">
        <f>STDEV(E108:E113)/E115</f>
        <v>1.6132663926861374E-2</v>
      </c>
      <c r="F116" s="155">
        <f>STDEV(F108:F113)/F115</f>
        <v>1.6132663926861374E-2</v>
      </c>
      <c r="I116" s="3"/>
    </row>
    <row r="117" spans="1:10" ht="27" customHeight="1" x14ac:dyDescent="0.45">
      <c r="A117" s="724" t="s">
        <v>55</v>
      </c>
      <c r="B117" s="736"/>
      <c r="C117" s="156"/>
      <c r="D117" s="698" t="s">
        <v>3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26"/>
      <c r="B118" s="737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82</v>
      </c>
      <c r="B120" s="106" t="s">
        <v>98</v>
      </c>
      <c r="C120" s="714" t="str">
        <f>B79</f>
        <v>EFAVIRENZ</v>
      </c>
      <c r="D120" s="714"/>
      <c r="E120" s="107" t="s">
        <v>99</v>
      </c>
      <c r="F120" s="107"/>
      <c r="G120" s="108">
        <f>F115</f>
        <v>0.96700057083881408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15" t="s">
        <v>4</v>
      </c>
      <c r="C122" s="715"/>
      <c r="E122" s="113" t="s">
        <v>5</v>
      </c>
      <c r="F122" s="160"/>
      <c r="G122" s="715" t="s">
        <v>6</v>
      </c>
      <c r="H122" s="715"/>
    </row>
    <row r="123" spans="1:10" ht="69.900000000000006" customHeight="1" x14ac:dyDescent="0.35">
      <c r="A123" s="161" t="s">
        <v>7</v>
      </c>
      <c r="B123" s="162"/>
      <c r="C123" s="162"/>
      <c r="E123" s="162"/>
      <c r="F123" s="3"/>
      <c r="G123" s="163"/>
      <c r="H123" s="163"/>
    </row>
    <row r="124" spans="1:10" ht="69.900000000000006" customHeight="1" x14ac:dyDescent="0.35">
      <c r="A124" s="161" t="s">
        <v>8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SST 3TC</vt:lpstr>
      <vt:lpstr>SST TDF</vt:lpstr>
      <vt:lpstr>SST EFV</vt:lpstr>
      <vt:lpstr>Uniformity </vt:lpstr>
      <vt:lpstr>3TC</vt:lpstr>
      <vt:lpstr>TDF</vt:lpstr>
      <vt:lpstr>EFV</vt:lpstr>
      <vt:lpstr>'3TC'!Print_Area</vt:lpstr>
      <vt:lpstr>EFV!Print_Area</vt:lpstr>
      <vt:lpstr>'SST 3TC'!Print_Area</vt:lpstr>
      <vt:lpstr>'SST EFV'!Print_Area</vt:lpstr>
      <vt:lpstr>'SST TDF'!Print_Area</vt:lpstr>
      <vt:lpstr>TDF!Print_Area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2016-05-23T14:23:51Z</cp:lastPrinted>
  <dcterms:created xsi:type="dcterms:W3CDTF">2005-07-05T10:19:27Z</dcterms:created>
  <dcterms:modified xsi:type="dcterms:W3CDTF">2016-05-23T14:24:54Z</dcterms:modified>
</cp:coreProperties>
</file>