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Fluconazol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102" i="3" s="1"/>
  <c r="I92" i="3"/>
  <c r="I39" i="3"/>
  <c r="F44" i="3"/>
  <c r="F45" i="3" s="1"/>
  <c r="F46" i="3" s="1"/>
  <c r="D45" i="3"/>
  <c r="D46" i="3" s="1"/>
  <c r="D49" i="3"/>
  <c r="F98" i="3"/>
  <c r="F99" i="3" s="1"/>
  <c r="B57" i="3"/>
  <c r="B69" i="3" s="1"/>
  <c r="C50" i="2"/>
  <c r="D97" i="3"/>
  <c r="D98" i="3" s="1"/>
  <c r="D99" i="3" s="1"/>
  <c r="D26" i="2"/>
  <c r="D30" i="2"/>
  <c r="D34" i="2"/>
  <c r="D38" i="2"/>
  <c r="D42" i="2"/>
  <c r="B49" i="2"/>
  <c r="G39" i="3" l="1"/>
  <c r="G41" i="3"/>
  <c r="G38" i="3"/>
  <c r="G40" i="3"/>
  <c r="E41" i="3"/>
  <c r="E40" i="3"/>
  <c r="E39" i="3"/>
  <c r="E38" i="3"/>
  <c r="E94" i="3"/>
  <c r="E93" i="3"/>
  <c r="E91" i="3"/>
  <c r="E92" i="3"/>
  <c r="G94" i="3"/>
  <c r="G93" i="3"/>
  <c r="G92" i="3"/>
  <c r="G91" i="3"/>
  <c r="D52" i="3" l="1"/>
  <c r="G42" i="3"/>
  <c r="D50" i="3"/>
  <c r="G68" i="3" s="1"/>
  <c r="H68" i="3" s="1"/>
  <c r="G95" i="3"/>
  <c r="E42" i="3"/>
  <c r="E95" i="3"/>
  <c r="D105" i="3"/>
  <c r="D103" i="3"/>
  <c r="G60" i="3" l="1"/>
  <c r="H60" i="3" s="1"/>
  <c r="G63" i="3"/>
  <c r="H63" i="3" s="1"/>
  <c r="G66" i="3"/>
  <c r="H66" i="3" s="1"/>
  <c r="G65" i="3"/>
  <c r="H65" i="3" s="1"/>
  <c r="G69" i="3"/>
  <c r="H69" i="3" s="1"/>
  <c r="D51" i="3"/>
  <c r="G67" i="3"/>
  <c r="H67" i="3" s="1"/>
  <c r="G62" i="3"/>
  <c r="H62" i="3" s="1"/>
  <c r="G71" i="3"/>
  <c r="H71" i="3" s="1"/>
  <c r="G61" i="3"/>
  <c r="H61" i="3" s="1"/>
  <c r="G70" i="3"/>
  <c r="H70" i="3" s="1"/>
  <c r="G64" i="3"/>
  <c r="H64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E115" i="3"/>
  <c r="E116" i="3" s="1"/>
  <c r="E117" i="3"/>
  <c r="F108" i="3"/>
  <c r="H74" i="3"/>
  <c r="H72" i="3"/>
  <c r="G76" i="3" l="1"/>
  <c r="H73" i="3"/>
  <c r="F117" i="3"/>
  <c r="F115" i="3"/>
  <c r="G120" i="3" l="1"/>
  <c r="F116" i="3"/>
</calcChain>
</file>

<file path=xl/sharedStrings.xml><?xml version="1.0" encoding="utf-8"?>
<sst xmlns="http://schemas.openxmlformats.org/spreadsheetml/2006/main" count="233" uniqueCount="127">
  <si>
    <t>HPLC System Suitability Report</t>
  </si>
  <si>
    <t>Analysis Data</t>
  </si>
  <si>
    <t>Assay</t>
  </si>
  <si>
    <t>Sample(s)</t>
  </si>
  <si>
    <t>Reference Substance:</t>
  </si>
  <si>
    <t>DICONAZOL-200 TABLETS</t>
  </si>
  <si>
    <t>% age Purity:</t>
  </si>
  <si>
    <t>NDQB201604853</t>
  </si>
  <si>
    <t>Weight (mg):</t>
  </si>
  <si>
    <t>Fluconazole</t>
  </si>
  <si>
    <t>Standard Conc (mg/mL):</t>
  </si>
  <si>
    <t>Each film coated tablets contains: Fluconazole 200 mg.</t>
  </si>
  <si>
    <t>2016-04-08 14:04:05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</si>
  <si>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</si>
  <si>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</si>
  <si>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</si>
  <si>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</si>
  <si>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</si>
  <si>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</si>
  <si>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</si>
  <si>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</si>
  <si>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</si>
  <si>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</si>
  <si>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</si>
  <si>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</si>
  <si>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</si>
  <si>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</si>
  <si>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</si>
  <si>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</si>
  <si>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</si>
  <si>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</si>
  <si>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</si>
  <si>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</si>
  <si>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</si>
  <si>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</si>
  <si>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</si>
  <si>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</si>
  <si>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</si>
  <si>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</si>
  <si>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</si>
  <si>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</si>
  <si>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</si>
  <si>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</si>
  <si>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</si>
  <si>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</si>
  <si>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</si>
  <si>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</si>
  <si>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</si>
  <si>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</si>
  <si>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</si>
  <si>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</si>
  <si>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</si>
  <si>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</si>
  <si>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</si>
  <si>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</si>
  <si>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</si>
  <si>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</si>
  <si>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</si>
  <si>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</si>
  <si>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</si>
  <si>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</si>
  <si>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</si>
  <si>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</si>
  <si>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</si>
  <si>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</si>
  <si>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</si>
  <si>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</si>
  <si>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</si>
  <si>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</si>
  <si>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</si>
  <si>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</si>
  <si>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</si>
  <si>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</si>
  <si>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</si>
  <si>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</si>
  <si>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</si>
  <si>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</si>
  <si>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</si>
  <si>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</si>
  <si>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</si>
  <si>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</si>
  <si>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</si>
  <si>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</si>
  <si>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</si>
  <si>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</si>
  <si>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</si>
  <si>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</si>
  <si>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</si>
  <si>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</si>
  <si>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</si>
  <si>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</si>
  <si>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</si>
  <si>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</si>
  <si>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</si>
  <si>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</si>
  <si>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</si>
  <si>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</si>
  <si>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</si>
  <si>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</si>
  <si>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</si>
  <si>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</si>
  <si>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</si>
  <si>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</si>
  <si>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</si>
  <si>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</si>
  <si>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</si>
  <si>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</si>
  <si>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</si>
  <si>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</si>
  <si>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</si>
  <si>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</si>
  <si>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</si>
  <si>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</si>
  <si>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</si>
  <si>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</si>
  <si>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</si>
  <si>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</si>
  <si>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</si>
  <si>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</si>
  <si>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</si>
  <si>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</si>
  <si>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</si>
  <si>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</si>
  <si>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Fluconazole USP</t>
  </si>
  <si>
    <t>F1-1</t>
  </si>
  <si>
    <r>
      <t>The Assymetry of all peaks were below</t>
    </r>
    <r>
      <rPr>
        <b/>
        <sz val="12"/>
        <color rgb="FF000000"/>
        <rFont val="Book Antiqua"/>
      </rPr>
      <t xml:space="preserve"> 3.0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</si>
  <si>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1100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</si>
</sst>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C13" sqref="C1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281">
        <v>42471.641481481478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7628604</v>
      </c>
      <c r="C24" s="18">
        <v>5583.6</v>
      </c>
      <c r="D24" s="19">
        <v>1.1000000000000001</v>
      </c>
      <c r="E24" s="20">
        <v>3.9</v>
      </c>
    </row>
    <row r="25" spans="1:6" ht="16.5" customHeight="1" x14ac:dyDescent="0.3">
      <c r="A25" s="17">
        <v>2</v>
      </c>
      <c r="B25" s="18">
        <v>7625430</v>
      </c>
      <c r="C25" s="18">
        <v>5503.9</v>
      </c>
      <c r="D25" s="19">
        <v>1.2</v>
      </c>
      <c r="E25" s="19">
        <v>3.9</v>
      </c>
    </row>
    <row r="26" spans="1:6" ht="16.5" customHeight="1" x14ac:dyDescent="0.3">
      <c r="A26" s="17">
        <v>3</v>
      </c>
      <c r="B26" s="18">
        <v>7604662</v>
      </c>
      <c r="C26" s="18">
        <v>5541.8</v>
      </c>
      <c r="D26" s="19">
        <v>1.1000000000000001</v>
      </c>
      <c r="E26" s="19">
        <v>3.9</v>
      </c>
    </row>
    <row r="27" spans="1:6" ht="16.5" customHeight="1" x14ac:dyDescent="0.3">
      <c r="A27" s="17">
        <v>4</v>
      </c>
      <c r="B27" s="18">
        <v>7611416</v>
      </c>
      <c r="C27" s="18">
        <v>5524.7</v>
      </c>
      <c r="D27" s="19">
        <v>1.1000000000000001</v>
      </c>
      <c r="E27" s="19">
        <v>3.9</v>
      </c>
    </row>
    <row r="28" spans="1:6" ht="16.5" customHeight="1" x14ac:dyDescent="0.3">
      <c r="A28" s="17">
        <v>5</v>
      </c>
      <c r="B28" s="18">
        <v>7611425</v>
      </c>
      <c r="C28" s="18">
        <v>5500.4</v>
      </c>
      <c r="D28" s="19">
        <v>1.1000000000000001</v>
      </c>
      <c r="E28" s="19">
        <v>3.9</v>
      </c>
    </row>
    <row r="29" spans="1:6" ht="16.5" customHeight="1" x14ac:dyDescent="0.3">
      <c r="A29" s="17">
        <v>6</v>
      </c>
      <c r="B29" s="21">
        <v>7644130</v>
      </c>
      <c r="C29" s="21">
        <v>5493.1</v>
      </c>
      <c r="D29" s="22">
        <v>1.1000000000000001</v>
      </c>
      <c r="E29" s="22">
        <v>3.9</v>
      </c>
    </row>
    <row r="30" spans="1:6" ht="16.5" customHeight="1" x14ac:dyDescent="0.3">
      <c r="A30" s="23" t="s">
        <v>18</v>
      </c>
      <c r="B30" s="24">
        <f>AVERAGE(B24:B29)</f>
        <v>7620944.5</v>
      </c>
      <c r="C30" s="25">
        <f>AVERAGE(C24:C29)</f>
        <v>5524.583333333333</v>
      </c>
      <c r="D30" s="26">
        <f>AVERAGE(D24:D29)</f>
        <v>1.1166666666666665</v>
      </c>
      <c r="E30" s="26">
        <f>AVERAGE(E24:E29)</f>
        <v>3.9</v>
      </c>
    </row>
    <row r="31" spans="1:6" ht="16.5" customHeight="1" x14ac:dyDescent="0.3">
      <c r="A31" s="27" t="s">
        <v>19</v>
      </c>
      <c r="B31" s="28">
        <f>(STDEV(B24:B29)/B30)</f>
        <v>1.9131541451715623E-3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126</v>
      </c>
      <c r="C35" s="38"/>
      <c r="D35" s="38"/>
      <c r="E35" s="39"/>
      <c r="F35" s="2"/>
    </row>
    <row r="36" spans="1:6" ht="16.5" customHeight="1" x14ac:dyDescent="0.3">
      <c r="A36" s="11"/>
      <c r="B36" s="40" t="s">
        <v>125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7628604</v>
      </c>
      <c r="C45" s="18">
        <v>5583.6</v>
      </c>
      <c r="D45" s="19">
        <v>1.1000000000000001</v>
      </c>
      <c r="E45" s="20">
        <v>3.9</v>
      </c>
    </row>
    <row r="46" spans="1:6" ht="16.5" customHeight="1" x14ac:dyDescent="0.3">
      <c r="A46" s="17">
        <v>2</v>
      </c>
      <c r="B46" s="18">
        <v>7625430</v>
      </c>
      <c r="C46" s="18">
        <v>5503.9</v>
      </c>
      <c r="D46" s="19">
        <v>1.2</v>
      </c>
      <c r="E46" s="19">
        <v>3.9</v>
      </c>
    </row>
    <row r="47" spans="1:6" ht="16.5" customHeight="1" x14ac:dyDescent="0.3">
      <c r="A47" s="17">
        <v>3</v>
      </c>
      <c r="B47" s="18">
        <v>7604662</v>
      </c>
      <c r="C47" s="18">
        <v>5541.8</v>
      </c>
      <c r="D47" s="19">
        <v>1.1000000000000001</v>
      </c>
      <c r="E47" s="19">
        <v>3.9</v>
      </c>
    </row>
    <row r="48" spans="1:6" ht="16.5" customHeight="1" x14ac:dyDescent="0.3">
      <c r="A48" s="17">
        <v>4</v>
      </c>
      <c r="B48" s="18">
        <v>7611416</v>
      </c>
      <c r="C48" s="18">
        <v>5524.7</v>
      </c>
      <c r="D48" s="19">
        <v>1.1000000000000001</v>
      </c>
      <c r="E48" s="19">
        <v>3.9</v>
      </c>
    </row>
    <row r="49" spans="1:7" ht="16.5" customHeight="1" x14ac:dyDescent="0.3">
      <c r="A49" s="17">
        <v>5</v>
      </c>
      <c r="B49" s="18">
        <v>7611425</v>
      </c>
      <c r="C49" s="18">
        <v>5500.4</v>
      </c>
      <c r="D49" s="19">
        <v>1.1000000000000001</v>
      </c>
      <c r="E49" s="19">
        <v>3.9</v>
      </c>
    </row>
    <row r="50" spans="1:7" ht="16.5" customHeight="1" x14ac:dyDescent="0.3">
      <c r="A50" s="17">
        <v>6</v>
      </c>
      <c r="B50" s="21">
        <v>7644130</v>
      </c>
      <c r="C50" s="21">
        <v>5493.1</v>
      </c>
      <c r="D50" s="22">
        <v>1.1000000000000001</v>
      </c>
      <c r="E50" s="22">
        <v>3.9</v>
      </c>
    </row>
    <row r="51" spans="1:7" ht="16.5" customHeight="1" x14ac:dyDescent="0.3">
      <c r="A51" s="23" t="s">
        <v>18</v>
      </c>
      <c r="B51" s="24">
        <f>AVERAGE(B45:B50)</f>
        <v>7620944.5</v>
      </c>
      <c r="C51" s="25">
        <f>AVERAGE(C45:C50)</f>
        <v>5524.583333333333</v>
      </c>
      <c r="D51" s="26">
        <f>AVERAGE(D45:D50)</f>
        <v>1.1166666666666665</v>
      </c>
      <c r="E51" s="26">
        <f>AVERAGE(E45:E50)</f>
        <v>3.9</v>
      </c>
    </row>
    <row r="52" spans="1:7" ht="16.5" customHeight="1" x14ac:dyDescent="0.3">
      <c r="A52" s="27" t="s">
        <v>19</v>
      </c>
      <c r="B52" s="28">
        <f>(STDEV(B45:B50)/B51)</f>
        <v>1.9131541451715623E-3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126</v>
      </c>
      <c r="C56" s="38"/>
      <c r="D56" s="38"/>
      <c r="E56" s="39"/>
      <c r="F56" s="2"/>
    </row>
    <row r="57" spans="1:7" ht="16.5" customHeight="1" x14ac:dyDescent="0.3">
      <c r="A57" s="11"/>
      <c r="B57" s="40" t="s">
        <v>125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3" t="s">
        <v>24</v>
      </c>
      <c r="C59" s="283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D20" sqref="D2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29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30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31</v>
      </c>
      <c r="B14" s="291"/>
      <c r="C14" s="60" t="s">
        <v>5</v>
      </c>
    </row>
    <row r="15" spans="1:7" ht="16.5" customHeight="1" x14ac:dyDescent="0.3">
      <c r="A15" s="291" t="s">
        <v>32</v>
      </c>
      <c r="B15" s="291"/>
      <c r="C15" s="60" t="s">
        <v>7</v>
      </c>
    </row>
    <row r="16" spans="1:7" ht="16.5" customHeight="1" x14ac:dyDescent="0.3">
      <c r="A16" s="291" t="s">
        <v>33</v>
      </c>
      <c r="B16" s="291"/>
      <c r="C16" s="60" t="s">
        <v>9</v>
      </c>
    </row>
    <row r="17" spans="1:5" ht="16.5" customHeight="1" x14ac:dyDescent="0.3">
      <c r="A17" s="291" t="s">
        <v>34</v>
      </c>
      <c r="B17" s="291"/>
      <c r="C17" s="60" t="s">
        <v>11</v>
      </c>
    </row>
    <row r="18" spans="1:5" ht="16.5" customHeight="1" x14ac:dyDescent="0.3">
      <c r="A18" s="291" t="s">
        <v>35</v>
      </c>
      <c r="B18" s="291"/>
      <c r="C18" s="97" t="s">
        <v>12</v>
      </c>
    </row>
    <row r="19" spans="1:5" ht="16.5" customHeight="1" x14ac:dyDescent="0.3">
      <c r="A19" s="291" t="s">
        <v>36</v>
      </c>
      <c r="B19" s="29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37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38</v>
      </c>
      <c r="D23" s="85" t="s">
        <v>39</v>
      </c>
      <c r="E23" s="52"/>
    </row>
    <row r="24" spans="1:5" ht="15.75" customHeight="1" x14ac:dyDescent="0.3">
      <c r="C24" s="95">
        <v>315.26</v>
      </c>
      <c r="D24" s="87">
        <f t="shared" ref="D24:D43" si="0">(C24-$C$46)/$C$46</f>
        <v>-1.9555400748877166E-2</v>
      </c>
      <c r="E24" s="53"/>
    </row>
    <row r="25" spans="1:5" ht="15.75" customHeight="1" x14ac:dyDescent="0.3">
      <c r="C25" s="95">
        <v>318.99</v>
      </c>
      <c r="D25" s="88">
        <f t="shared" si="0"/>
        <v>-7.9552663987956275E-3</v>
      </c>
      <c r="E25" s="53"/>
    </row>
    <row r="26" spans="1:5" ht="15.75" customHeight="1" x14ac:dyDescent="0.3">
      <c r="C26" s="95">
        <v>319.07</v>
      </c>
      <c r="D26" s="88">
        <f t="shared" si="0"/>
        <v>-7.7064699516089423E-3</v>
      </c>
      <c r="E26" s="53"/>
    </row>
    <row r="27" spans="1:5" ht="15.75" customHeight="1" x14ac:dyDescent="0.3">
      <c r="C27" s="95">
        <v>321.99</v>
      </c>
      <c r="D27" s="88">
        <f t="shared" si="0"/>
        <v>1.3746003707069061E-3</v>
      </c>
      <c r="E27" s="53"/>
    </row>
    <row r="28" spans="1:5" ht="15.75" customHeight="1" x14ac:dyDescent="0.3">
      <c r="C28" s="95">
        <v>322.25</v>
      </c>
      <c r="D28" s="88">
        <f t="shared" si="0"/>
        <v>2.1831888240637638E-3</v>
      </c>
      <c r="E28" s="53"/>
    </row>
    <row r="29" spans="1:5" ht="15.75" customHeight="1" x14ac:dyDescent="0.3">
      <c r="C29" s="95">
        <v>321.58</v>
      </c>
      <c r="D29" s="88">
        <f t="shared" si="0"/>
        <v>9.9518578874815316E-5</v>
      </c>
      <c r="E29" s="53"/>
    </row>
    <row r="30" spans="1:5" ht="15.75" customHeight="1" x14ac:dyDescent="0.3">
      <c r="C30" s="95">
        <v>321.27</v>
      </c>
      <c r="D30" s="88">
        <f t="shared" si="0"/>
        <v>-8.645676539737868E-4</v>
      </c>
      <c r="E30" s="53"/>
    </row>
    <row r="31" spans="1:5" ht="15.75" customHeight="1" x14ac:dyDescent="0.3">
      <c r="C31" s="95">
        <v>322.95999999999998</v>
      </c>
      <c r="D31" s="88">
        <f t="shared" si="0"/>
        <v>4.3912572928459662E-3</v>
      </c>
      <c r="E31" s="53"/>
    </row>
    <row r="32" spans="1:5" ht="15.75" customHeight="1" x14ac:dyDescent="0.3">
      <c r="C32" s="95">
        <v>324.29000000000002</v>
      </c>
      <c r="D32" s="88">
        <f t="shared" si="0"/>
        <v>8.5274982273255504E-3</v>
      </c>
      <c r="E32" s="53"/>
    </row>
    <row r="33" spans="1:7" ht="15.75" customHeight="1" x14ac:dyDescent="0.3">
      <c r="C33" s="95">
        <v>321.27999999999997</v>
      </c>
      <c r="D33" s="88">
        <f t="shared" si="0"/>
        <v>-8.3346809807547338E-4</v>
      </c>
      <c r="E33" s="53"/>
    </row>
    <row r="34" spans="1:7" ht="15.75" customHeight="1" x14ac:dyDescent="0.3">
      <c r="C34" s="95">
        <v>318.62</v>
      </c>
      <c r="D34" s="88">
        <f t="shared" si="0"/>
        <v>-9.1059499670342863E-3</v>
      </c>
      <c r="E34" s="53"/>
    </row>
    <row r="35" spans="1:7" ht="15.75" customHeight="1" x14ac:dyDescent="0.3">
      <c r="C35" s="95">
        <v>321.35000000000002</v>
      </c>
      <c r="D35" s="88">
        <f t="shared" si="0"/>
        <v>-6.1577120678692535E-4</v>
      </c>
      <c r="E35" s="53"/>
    </row>
    <row r="36" spans="1:7" ht="15.75" customHeight="1" x14ac:dyDescent="0.3">
      <c r="C36" s="95">
        <v>323.58</v>
      </c>
      <c r="D36" s="88">
        <f t="shared" si="0"/>
        <v>6.3194297585431707E-3</v>
      </c>
      <c r="E36" s="53"/>
    </row>
    <row r="37" spans="1:7" ht="15.75" customHeight="1" x14ac:dyDescent="0.3">
      <c r="C37" s="95">
        <v>321.73</v>
      </c>
      <c r="D37" s="88">
        <f t="shared" si="0"/>
        <v>5.6601191735004808E-4</v>
      </c>
      <c r="E37" s="53"/>
    </row>
    <row r="38" spans="1:7" ht="15.75" customHeight="1" x14ac:dyDescent="0.3">
      <c r="C38" s="95">
        <v>323.44</v>
      </c>
      <c r="D38" s="88">
        <f t="shared" si="0"/>
        <v>5.8840359759664285E-3</v>
      </c>
      <c r="E38" s="53"/>
    </row>
    <row r="39" spans="1:7" ht="15.75" customHeight="1" x14ac:dyDescent="0.3">
      <c r="C39" s="95">
        <v>324.42</v>
      </c>
      <c r="D39" s="88">
        <f t="shared" si="0"/>
        <v>8.9317924540039794E-3</v>
      </c>
      <c r="E39" s="53"/>
    </row>
    <row r="40" spans="1:7" ht="15.75" customHeight="1" x14ac:dyDescent="0.3">
      <c r="C40" s="95">
        <v>321.75</v>
      </c>
      <c r="D40" s="88">
        <f t="shared" si="0"/>
        <v>6.2821102914667503E-4</v>
      </c>
      <c r="E40" s="53"/>
    </row>
    <row r="41" spans="1:7" ht="15.75" customHeight="1" x14ac:dyDescent="0.3">
      <c r="C41" s="95">
        <v>319.39</v>
      </c>
      <c r="D41" s="88">
        <f t="shared" si="0"/>
        <v>-6.7112841628620265E-3</v>
      </c>
      <c r="E41" s="53"/>
    </row>
    <row r="42" spans="1:7" ht="15.75" customHeight="1" x14ac:dyDescent="0.3">
      <c r="C42" s="95">
        <v>320.42</v>
      </c>
      <c r="D42" s="88">
        <f t="shared" si="0"/>
        <v>-3.5080299053327317E-3</v>
      </c>
      <c r="E42" s="53"/>
    </row>
    <row r="43" spans="1:7" ht="16.5" customHeight="1" x14ac:dyDescent="0.3">
      <c r="C43" s="96">
        <v>327.32</v>
      </c>
      <c r="D43" s="89">
        <f t="shared" si="0"/>
        <v>1.7950663664523022E-2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40</v>
      </c>
      <c r="C45" s="83">
        <f>SUM(C24:C44)</f>
        <v>6430.9599999999991</v>
      </c>
      <c r="D45" s="78"/>
      <c r="E45" s="54"/>
    </row>
    <row r="46" spans="1:7" ht="17.25" customHeight="1" x14ac:dyDescent="0.3">
      <c r="B46" s="82" t="s">
        <v>41</v>
      </c>
      <c r="C46" s="84">
        <f>AVERAGE(C24:C44)</f>
        <v>321.54799999999994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41</v>
      </c>
      <c r="C48" s="85" t="s">
        <v>42</v>
      </c>
      <c r="D48" s="80"/>
      <c r="G48" s="58"/>
    </row>
    <row r="49" spans="1:6" ht="17.25" customHeight="1" x14ac:dyDescent="0.3">
      <c r="B49" s="284">
        <f>C46</f>
        <v>321.54799999999994</v>
      </c>
      <c r="C49" s="93">
        <f>-IF(C46&lt;=80,10%,IF(C46&lt;250,7.5%,5%))</f>
        <v>-0.05</v>
      </c>
      <c r="D49" s="81">
        <f>IF(C46&lt;=80,C46*0.9,IF(C46&lt;250,C46*0.925,C46*0.95))</f>
        <v>305.47059999999993</v>
      </c>
    </row>
    <row r="50" spans="1:6" ht="17.25" customHeight="1" x14ac:dyDescent="0.3">
      <c r="B50" s="285"/>
      <c r="C50" s="94">
        <f>IF(C46&lt;=80, 10%, IF(C46&lt;250, 7.5%, 5%))</f>
        <v>0.05</v>
      </c>
      <c r="D50" s="81">
        <f>IF(C46&lt;=80, C46*1.1, IF(C46&lt;250, C46*1.075, C46*1.05))</f>
        <v>337.62539999999996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/>
      <c r="C53" s="72"/>
      <c r="D53" s="71"/>
      <c r="E53" s="61"/>
      <c r="F53" s="73"/>
    </row>
    <row r="54" spans="1:6" ht="34.5" customHeight="1" x14ac:dyDescent="0.3">
      <c r="A54" s="70" t="s">
        <v>28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4" zoomScale="55" zoomScaleNormal="40" zoomScalePageLayoutView="55" workbookViewId="0">
      <selection activeCell="A31" sqref="A3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0" t="s">
        <v>43</v>
      </c>
      <c r="B1" s="320"/>
      <c r="C1" s="320"/>
      <c r="D1" s="320"/>
      <c r="E1" s="320"/>
      <c r="F1" s="320"/>
      <c r="G1" s="320"/>
      <c r="H1" s="320"/>
      <c r="I1" s="320"/>
    </row>
    <row r="2" spans="1:9" ht="18.75" customHeight="1" x14ac:dyDescent="0.25">
      <c r="A2" s="320"/>
      <c r="B2" s="320"/>
      <c r="C2" s="320"/>
      <c r="D2" s="320"/>
      <c r="E2" s="320"/>
      <c r="F2" s="320"/>
      <c r="G2" s="320"/>
      <c r="H2" s="320"/>
      <c r="I2" s="320"/>
    </row>
    <row r="3" spans="1:9" ht="18.75" customHeight="1" x14ac:dyDescent="0.25">
      <c r="A3" s="320"/>
      <c r="B3" s="320"/>
      <c r="C3" s="320"/>
      <c r="D3" s="320"/>
      <c r="E3" s="320"/>
      <c r="F3" s="320"/>
      <c r="G3" s="320"/>
      <c r="H3" s="320"/>
      <c r="I3" s="320"/>
    </row>
    <row r="4" spans="1:9" ht="18.75" customHeight="1" x14ac:dyDescent="0.25">
      <c r="A4" s="320"/>
      <c r="B4" s="320"/>
      <c r="C4" s="320"/>
      <c r="D4" s="320"/>
      <c r="E4" s="320"/>
      <c r="F4" s="320"/>
      <c r="G4" s="320"/>
      <c r="H4" s="320"/>
      <c r="I4" s="320"/>
    </row>
    <row r="5" spans="1:9" ht="18.75" customHeight="1" x14ac:dyDescent="0.25">
      <c r="A5" s="320"/>
      <c r="B5" s="320"/>
      <c r="C5" s="320"/>
      <c r="D5" s="320"/>
      <c r="E5" s="320"/>
      <c r="F5" s="320"/>
      <c r="G5" s="320"/>
      <c r="H5" s="320"/>
      <c r="I5" s="320"/>
    </row>
    <row r="6" spans="1:9" ht="18.75" customHeight="1" x14ac:dyDescent="0.25">
      <c r="A6" s="320"/>
      <c r="B6" s="320"/>
      <c r="C6" s="320"/>
      <c r="D6" s="320"/>
      <c r="E6" s="320"/>
      <c r="F6" s="320"/>
      <c r="G6" s="320"/>
      <c r="H6" s="320"/>
      <c r="I6" s="320"/>
    </row>
    <row r="7" spans="1:9" ht="18.75" customHeight="1" x14ac:dyDescent="0.25">
      <c r="A7" s="320"/>
      <c r="B7" s="320"/>
      <c r="C7" s="320"/>
      <c r="D7" s="320"/>
      <c r="E7" s="320"/>
      <c r="F7" s="320"/>
      <c r="G7" s="320"/>
      <c r="H7" s="320"/>
      <c r="I7" s="320"/>
    </row>
    <row r="8" spans="1:9" x14ac:dyDescent="0.25">
      <c r="A8" s="321" t="s">
        <v>44</v>
      </c>
      <c r="B8" s="321"/>
      <c r="C8" s="321"/>
      <c r="D8" s="321"/>
      <c r="E8" s="321"/>
      <c r="F8" s="321"/>
      <c r="G8" s="321"/>
      <c r="H8" s="321"/>
      <c r="I8" s="321"/>
    </row>
    <row r="9" spans="1:9" x14ac:dyDescent="0.25">
      <c r="A9" s="321"/>
      <c r="B9" s="321"/>
      <c r="C9" s="321"/>
      <c r="D9" s="321"/>
      <c r="E9" s="321"/>
      <c r="F9" s="321"/>
      <c r="G9" s="321"/>
      <c r="H9" s="321"/>
      <c r="I9" s="321"/>
    </row>
    <row r="10" spans="1:9" x14ac:dyDescent="0.25">
      <c r="A10" s="321"/>
      <c r="B10" s="321"/>
      <c r="C10" s="321"/>
      <c r="D10" s="321"/>
      <c r="E10" s="321"/>
      <c r="F10" s="321"/>
      <c r="G10" s="321"/>
      <c r="H10" s="321"/>
      <c r="I10" s="321"/>
    </row>
    <row r="11" spans="1:9" x14ac:dyDescent="0.25">
      <c r="A11" s="321"/>
      <c r="B11" s="321"/>
      <c r="C11" s="321"/>
      <c r="D11" s="321"/>
      <c r="E11" s="321"/>
      <c r="F11" s="321"/>
      <c r="G11" s="321"/>
      <c r="H11" s="321"/>
      <c r="I11" s="321"/>
    </row>
    <row r="12" spans="1:9" x14ac:dyDescent="0.25">
      <c r="A12" s="321"/>
      <c r="B12" s="321"/>
      <c r="C12" s="321"/>
      <c r="D12" s="321"/>
      <c r="E12" s="321"/>
      <c r="F12" s="321"/>
      <c r="G12" s="321"/>
      <c r="H12" s="321"/>
      <c r="I12" s="321"/>
    </row>
    <row r="13" spans="1:9" x14ac:dyDescent="0.25">
      <c r="A13" s="321"/>
      <c r="B13" s="321"/>
      <c r="C13" s="321"/>
      <c r="D13" s="321"/>
      <c r="E13" s="321"/>
      <c r="F13" s="321"/>
      <c r="G13" s="321"/>
      <c r="H13" s="321"/>
      <c r="I13" s="321"/>
    </row>
    <row r="14" spans="1:9" x14ac:dyDescent="0.25">
      <c r="A14" s="321"/>
      <c r="B14" s="321"/>
      <c r="C14" s="321"/>
      <c r="D14" s="321"/>
      <c r="E14" s="321"/>
      <c r="F14" s="321"/>
      <c r="G14" s="321"/>
      <c r="H14" s="321"/>
      <c r="I14" s="321"/>
    </row>
    <row r="15" spans="1:9" ht="19.5" customHeight="1" x14ac:dyDescent="0.3">
      <c r="A15" s="98"/>
    </row>
    <row r="16" spans="1:9" ht="19.5" customHeight="1" x14ac:dyDescent="0.3">
      <c r="A16" s="293" t="s">
        <v>29</v>
      </c>
      <c r="B16" s="294"/>
      <c r="C16" s="294"/>
      <c r="D16" s="294"/>
      <c r="E16" s="294"/>
      <c r="F16" s="294"/>
      <c r="G16" s="294"/>
      <c r="H16" s="295"/>
    </row>
    <row r="17" spans="1:14" ht="20.25" customHeight="1" x14ac:dyDescent="0.25">
      <c r="A17" s="296" t="s">
        <v>45</v>
      </c>
      <c r="B17" s="296"/>
      <c r="C17" s="296"/>
      <c r="D17" s="296"/>
      <c r="E17" s="296"/>
      <c r="F17" s="296"/>
      <c r="G17" s="296"/>
      <c r="H17" s="296"/>
    </row>
    <row r="18" spans="1:14" ht="26.25" customHeight="1" x14ac:dyDescent="0.4">
      <c r="A18" s="100" t="s">
        <v>31</v>
      </c>
      <c r="B18" s="292" t="s">
        <v>5</v>
      </c>
      <c r="C18" s="292"/>
      <c r="D18" s="267"/>
      <c r="E18" s="101"/>
      <c r="F18" s="102"/>
      <c r="G18" s="102"/>
      <c r="H18" s="102"/>
    </row>
    <row r="19" spans="1:14" ht="26.25" customHeight="1" x14ac:dyDescent="0.4">
      <c r="A19" s="100" t="s">
        <v>32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33</v>
      </c>
      <c r="B20" s="297" t="s">
        <v>9</v>
      </c>
      <c r="C20" s="297"/>
      <c r="D20" s="102"/>
      <c r="E20" s="102"/>
      <c r="F20" s="102"/>
      <c r="G20" s="102"/>
      <c r="H20" s="102"/>
    </row>
    <row r="21" spans="1:14" ht="26.25" customHeight="1" x14ac:dyDescent="0.4">
      <c r="A21" s="100" t="s">
        <v>34</v>
      </c>
      <c r="B21" s="297" t="s">
        <v>11</v>
      </c>
      <c r="C21" s="297"/>
      <c r="D21" s="297"/>
      <c r="E21" s="297"/>
      <c r="F21" s="297"/>
      <c r="G21" s="297"/>
      <c r="H21" s="297"/>
      <c r="I21" s="104"/>
    </row>
    <row r="22" spans="1:14" ht="26.25" customHeight="1" x14ac:dyDescent="0.4">
      <c r="A22" s="100" t="s">
        <v>35</v>
      </c>
      <c r="B22" s="105">
        <v>42471.404988425929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36</v>
      </c>
      <c r="B23" s="105">
        <v>42471.870891203704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2" t="s">
        <v>123</v>
      </c>
      <c r="C26" s="292"/>
    </row>
    <row r="27" spans="1:14" ht="26.25" customHeight="1" x14ac:dyDescent="0.4">
      <c r="A27" s="109" t="s">
        <v>46</v>
      </c>
      <c r="B27" s="298" t="s">
        <v>124</v>
      </c>
      <c r="C27" s="298"/>
    </row>
    <row r="28" spans="1:14" ht="27" customHeight="1" x14ac:dyDescent="0.4">
      <c r="A28" s="109" t="s">
        <v>6</v>
      </c>
      <c r="B28" s="110">
        <v>98.98</v>
      </c>
    </row>
    <row r="29" spans="1:14" s="14" customFormat="1" ht="27" customHeight="1" x14ac:dyDescent="0.4">
      <c r="A29" s="109" t="s">
        <v>47</v>
      </c>
      <c r="B29" s="111">
        <v>0</v>
      </c>
      <c r="C29" s="299" t="s">
        <v>48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">
      <c r="A30" s="109" t="s">
        <v>49</v>
      </c>
      <c r="B30" s="113">
        <f>B28-B29</f>
        <v>98.98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50</v>
      </c>
      <c r="B31" s="116">
        <v>1</v>
      </c>
      <c r="C31" s="302" t="s">
        <v>51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">
      <c r="A32" s="109" t="s">
        <v>52</v>
      </c>
      <c r="B32" s="116">
        <v>1</v>
      </c>
      <c r="C32" s="302" t="s">
        <v>53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56</v>
      </c>
      <c r="B36" s="123">
        <v>100</v>
      </c>
      <c r="C36" s="99"/>
      <c r="D36" s="305" t="s">
        <v>57</v>
      </c>
      <c r="E36" s="306"/>
      <c r="F36" s="305" t="s">
        <v>58</v>
      </c>
      <c r="G36" s="30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59</v>
      </c>
      <c r="B37" s="125">
        <v>1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64</v>
      </c>
      <c r="B38" s="125">
        <v>1</v>
      </c>
      <c r="C38" s="131">
        <v>1</v>
      </c>
      <c r="D38" s="132">
        <v>7624268</v>
      </c>
      <c r="E38" s="133">
        <f>IF(ISBLANK(D38),"-",$D$48/$D$45*D38)</f>
        <v>7836049.7830670392</v>
      </c>
      <c r="F38" s="132">
        <v>8666618</v>
      </c>
      <c r="G38" s="134">
        <f>IF(ISBLANK(F38),"-",$D$48/$F$45*F38)</f>
        <v>7755472.5158530213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65</v>
      </c>
      <c r="B39" s="125">
        <v>1</v>
      </c>
      <c r="C39" s="136">
        <v>2</v>
      </c>
      <c r="D39" s="137">
        <v>7623986</v>
      </c>
      <c r="E39" s="138">
        <f>IF(ISBLANK(D39),"-",$D$48/$D$45*D39)</f>
        <v>7835759.9498609109</v>
      </c>
      <c r="F39" s="137">
        <v>8668122</v>
      </c>
      <c r="G39" s="139">
        <f>IF(ISBLANK(F39),"-",$D$48/$F$45*F39)</f>
        <v>7756818.3961795624</v>
      </c>
      <c r="I39" s="309">
        <f>ABS((F43/D43*D42)-F42)/D42</f>
        <v>1.2811861382019424E-2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66</v>
      </c>
      <c r="B40" s="125">
        <v>1</v>
      </c>
      <c r="C40" s="136">
        <v>3</v>
      </c>
      <c r="D40" s="137">
        <v>7644745</v>
      </c>
      <c r="E40" s="138">
        <f>IF(ISBLANK(D40),"-",$D$48/$D$45*D40)</f>
        <v>7857095.5793858292</v>
      </c>
      <c r="F40" s="137">
        <v>8665138</v>
      </c>
      <c r="G40" s="139">
        <f>IF(ISBLANK(F40),"-",$D$48/$F$45*F40)</f>
        <v>7754148.1123402026</v>
      </c>
      <c r="I40" s="309"/>
      <c r="L40" s="117"/>
      <c r="M40" s="117"/>
      <c r="N40" s="140"/>
    </row>
    <row r="41" spans="1:14" ht="27" customHeight="1" x14ac:dyDescent="0.4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68</v>
      </c>
      <c r="B42" s="125">
        <v>1</v>
      </c>
      <c r="C42" s="146" t="s">
        <v>69</v>
      </c>
      <c r="D42" s="147">
        <f>AVERAGE(D38:D41)</f>
        <v>7630999.666666667</v>
      </c>
      <c r="E42" s="148">
        <f>AVERAGE(E38:E41)</f>
        <v>7842968.4374379264</v>
      </c>
      <c r="F42" s="147">
        <f>AVERAGE(F38:F41)</f>
        <v>8666626</v>
      </c>
      <c r="G42" s="149">
        <f>AVERAGE(G38:G41)</f>
        <v>7755479.6747909291</v>
      </c>
      <c r="H42" s="150"/>
    </row>
    <row r="43" spans="1:14" ht="26.25" customHeight="1" x14ac:dyDescent="0.4">
      <c r="A43" s="124" t="s">
        <v>70</v>
      </c>
      <c r="B43" s="125">
        <v>1</v>
      </c>
      <c r="C43" s="151" t="s">
        <v>71</v>
      </c>
      <c r="D43" s="152">
        <v>19.66</v>
      </c>
      <c r="E43" s="140"/>
      <c r="F43" s="152">
        <v>22.58</v>
      </c>
      <c r="H43" s="150"/>
    </row>
    <row r="44" spans="1:14" ht="26.25" customHeight="1" x14ac:dyDescent="0.4">
      <c r="A44" s="124" t="s">
        <v>72</v>
      </c>
      <c r="B44" s="125">
        <v>1</v>
      </c>
      <c r="C44" s="153" t="s">
        <v>73</v>
      </c>
      <c r="D44" s="154">
        <f>D43*$B$34</f>
        <v>19.66</v>
      </c>
      <c r="E44" s="155"/>
      <c r="F44" s="154">
        <f>F43*$B$34</f>
        <v>22.58</v>
      </c>
      <c r="H44" s="150"/>
    </row>
    <row r="45" spans="1:14" ht="19.5" customHeight="1" x14ac:dyDescent="0.3">
      <c r="A45" s="124" t="s">
        <v>74</v>
      </c>
      <c r="B45" s="156">
        <f>(B44/B43)*(B42/B41)*(B40/B39)*(B38/B37)*B36</f>
        <v>100</v>
      </c>
      <c r="C45" s="153" t="s">
        <v>75</v>
      </c>
      <c r="D45" s="157">
        <f>D44*$B$30/100</f>
        <v>19.459468000000001</v>
      </c>
      <c r="E45" s="158"/>
      <c r="F45" s="157">
        <f>F44*$B$30/100</f>
        <v>22.349683999999996</v>
      </c>
      <c r="H45" s="150"/>
    </row>
    <row r="46" spans="1:14" ht="19.5" customHeight="1" x14ac:dyDescent="0.3">
      <c r="A46" s="310" t="s">
        <v>76</v>
      </c>
      <c r="B46" s="311"/>
      <c r="C46" s="153" t="s">
        <v>77</v>
      </c>
      <c r="D46" s="159">
        <f>D45/$B$45</f>
        <v>0.19459468000000002</v>
      </c>
      <c r="E46" s="160"/>
      <c r="F46" s="161">
        <f>F45/$B$45</f>
        <v>0.22349683999999997</v>
      </c>
      <c r="H46" s="150"/>
    </row>
    <row r="47" spans="1:14" ht="27" customHeight="1" x14ac:dyDescent="0.4">
      <c r="A47" s="312"/>
      <c r="B47" s="313"/>
      <c r="C47" s="162" t="s">
        <v>78</v>
      </c>
      <c r="D47" s="163">
        <v>0.2</v>
      </c>
      <c r="E47" s="164"/>
      <c r="F47" s="160"/>
      <c r="H47" s="150"/>
    </row>
    <row r="48" spans="1:14" ht="18.75" x14ac:dyDescent="0.3">
      <c r="C48" s="165" t="s">
        <v>79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80</v>
      </c>
      <c r="D49" s="168">
        <f>D48/B34</f>
        <v>20</v>
      </c>
      <c r="F49" s="166"/>
      <c r="H49" s="150"/>
    </row>
    <row r="50" spans="1:12" ht="18.75" x14ac:dyDescent="0.3">
      <c r="C50" s="122" t="s">
        <v>81</v>
      </c>
      <c r="D50" s="169">
        <f>AVERAGE(E38:E41,G38:G41)</f>
        <v>7799224.0561144277</v>
      </c>
      <c r="F50" s="170"/>
      <c r="H50" s="150"/>
    </row>
    <row r="51" spans="1:12" ht="18.75" x14ac:dyDescent="0.3">
      <c r="C51" s="124" t="s">
        <v>82</v>
      </c>
      <c r="D51" s="171">
        <f>STDEV(E38:E41,G38:G41)/D50</f>
        <v>6.2246835990389408E-3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83</v>
      </c>
    </row>
    <row r="55" spans="1:12" ht="18.75" x14ac:dyDescent="0.3">
      <c r="A55" s="99" t="s">
        <v>84</v>
      </c>
      <c r="B55" s="176" t="str">
        <f>B21</f>
        <v>Each film coated tablets contains: Fluconazole 200 mg.</v>
      </c>
    </row>
    <row r="56" spans="1:12" ht="26.25" customHeight="1" x14ac:dyDescent="0.4">
      <c r="A56" s="177" t="s">
        <v>85</v>
      </c>
      <c r="B56" s="178">
        <v>200</v>
      </c>
      <c r="C56" s="99" t="str">
        <f>B20</f>
        <v>Fluconazole</v>
      </c>
      <c r="H56" s="179"/>
    </row>
    <row r="57" spans="1:12" ht="18.75" x14ac:dyDescent="0.3">
      <c r="A57" s="176" t="s">
        <v>86</v>
      </c>
      <c r="B57" s="268">
        <f>Uniformity!C46</f>
        <v>321.54799999999994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87</v>
      </c>
      <c r="B59" s="123">
        <v>100</v>
      </c>
      <c r="C59" s="99"/>
      <c r="D59" s="180" t="s">
        <v>88</v>
      </c>
      <c r="E59" s="181" t="s">
        <v>60</v>
      </c>
      <c r="F59" s="181" t="s">
        <v>61</v>
      </c>
      <c r="G59" s="181" t="s">
        <v>89</v>
      </c>
      <c r="H59" s="126" t="s">
        <v>90</v>
      </c>
      <c r="L59" s="112"/>
    </row>
    <row r="60" spans="1:12" s="14" customFormat="1" ht="26.25" customHeight="1" x14ac:dyDescent="0.4">
      <c r="A60" s="124" t="s">
        <v>91</v>
      </c>
      <c r="B60" s="125">
        <v>5</v>
      </c>
      <c r="C60" s="314" t="s">
        <v>92</v>
      </c>
      <c r="D60" s="317">
        <v>321.33</v>
      </c>
      <c r="E60" s="182">
        <v>1</v>
      </c>
      <c r="F60" s="183">
        <v>7675651</v>
      </c>
      <c r="G60" s="269">
        <f>IF(ISBLANK(F60),"-",(F60/$D$50*$D$47*$B$68)*($B$57/$D$60))</f>
        <v>196.96468106954191</v>
      </c>
      <c r="H60" s="184">
        <f t="shared" ref="H60:H71" si="0">IF(ISBLANK(F60),"-",G60/$B$56)</f>
        <v>0.98482340534770951</v>
      </c>
      <c r="L60" s="112"/>
    </row>
    <row r="61" spans="1:12" s="14" customFormat="1" ht="26.25" customHeight="1" x14ac:dyDescent="0.4">
      <c r="A61" s="124" t="s">
        <v>93</v>
      </c>
      <c r="B61" s="125">
        <v>50</v>
      </c>
      <c r="C61" s="315"/>
      <c r="D61" s="318"/>
      <c r="E61" s="185">
        <v>2</v>
      </c>
      <c r="F61" s="137">
        <v>7658384</v>
      </c>
      <c r="G61" s="270">
        <f>IF(ISBLANK(F61),"-",(F61/$D$50*$D$47*$B$68)*($B$57/$D$60))</f>
        <v>196.52159303075172</v>
      </c>
      <c r="H61" s="186">
        <f t="shared" si="0"/>
        <v>0.98260796515375859</v>
      </c>
      <c r="L61" s="112"/>
    </row>
    <row r="62" spans="1:12" s="14" customFormat="1" ht="26.25" customHeight="1" x14ac:dyDescent="0.4">
      <c r="A62" s="124" t="s">
        <v>94</v>
      </c>
      <c r="B62" s="125">
        <v>1</v>
      </c>
      <c r="C62" s="315"/>
      <c r="D62" s="318"/>
      <c r="E62" s="185">
        <v>3</v>
      </c>
      <c r="F62" s="187">
        <v>7661190</v>
      </c>
      <c r="G62" s="270">
        <f>IF(ISBLANK(F62),"-",(F62/$D$50*$D$47*$B$68)*($B$57/$D$60))</f>
        <v>196.59359772391471</v>
      </c>
      <c r="H62" s="186">
        <f t="shared" si="0"/>
        <v>0.98296798861957357</v>
      </c>
      <c r="L62" s="112"/>
    </row>
    <row r="63" spans="1:12" ht="27" customHeight="1" x14ac:dyDescent="0.4">
      <c r="A63" s="124" t="s">
        <v>95</v>
      </c>
      <c r="B63" s="125">
        <v>1</v>
      </c>
      <c r="C63" s="316"/>
      <c r="D63" s="319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96</v>
      </c>
      <c r="B64" s="125">
        <v>1</v>
      </c>
      <c r="C64" s="314" t="s">
        <v>97</v>
      </c>
      <c r="D64" s="317">
        <v>322.02999999999997</v>
      </c>
      <c r="E64" s="182">
        <v>1</v>
      </c>
      <c r="F64" s="183">
        <v>7686525</v>
      </c>
      <c r="G64" s="271">
        <f>IF(ISBLANK(F64),"-",(F64/$D$50*$D$47*$B$68)*($B$57/$D$64))</f>
        <v>196.81496775460664</v>
      </c>
      <c r="H64" s="190">
        <f t="shared" si="0"/>
        <v>0.98407483877303326</v>
      </c>
    </row>
    <row r="65" spans="1:8" ht="26.25" customHeight="1" x14ac:dyDescent="0.4">
      <c r="A65" s="124" t="s">
        <v>98</v>
      </c>
      <c r="B65" s="125">
        <v>1</v>
      </c>
      <c r="C65" s="315"/>
      <c r="D65" s="318"/>
      <c r="E65" s="185">
        <v>2</v>
      </c>
      <c r="F65" s="137">
        <v>7697971</v>
      </c>
      <c r="G65" s="272">
        <f>IF(ISBLANK(F65),"-",(F65/$D$50*$D$47*$B$68)*($B$57/$D$64))</f>
        <v>197.10804481100331</v>
      </c>
      <c r="H65" s="191">
        <f t="shared" si="0"/>
        <v>0.98554022405501651</v>
      </c>
    </row>
    <row r="66" spans="1:8" ht="26.25" customHeight="1" x14ac:dyDescent="0.4">
      <c r="A66" s="124" t="s">
        <v>99</v>
      </c>
      <c r="B66" s="125">
        <v>1</v>
      </c>
      <c r="C66" s="315"/>
      <c r="D66" s="318"/>
      <c r="E66" s="185">
        <v>3</v>
      </c>
      <c r="F66" s="137">
        <v>7697986</v>
      </c>
      <c r="G66" s="272">
        <f>IF(ISBLANK(F66),"-",(F66/$D$50*$D$47*$B$68)*($B$57/$D$64))</f>
        <v>197.108428888921</v>
      </c>
      <c r="H66" s="191">
        <f t="shared" si="0"/>
        <v>0.98554214444460497</v>
      </c>
    </row>
    <row r="67" spans="1:8" ht="27" customHeight="1" x14ac:dyDescent="0.4">
      <c r="A67" s="124" t="s">
        <v>100</v>
      </c>
      <c r="B67" s="125">
        <v>1</v>
      </c>
      <c r="C67" s="316"/>
      <c r="D67" s="319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101</v>
      </c>
      <c r="B68" s="193">
        <f>(B67/B66)*(B65/B64)*(B63/B62)*(B61/B60)*B59</f>
        <v>1000</v>
      </c>
      <c r="C68" s="314" t="s">
        <v>102</v>
      </c>
      <c r="D68" s="317">
        <v>320.74</v>
      </c>
      <c r="E68" s="182">
        <v>1</v>
      </c>
      <c r="F68" s="183">
        <v>7649143</v>
      </c>
      <c r="G68" s="271">
        <f>IF(ISBLANK(F68),"-",(F68/$D$50*$D$47*$B$68)*($B$57/$D$68))</f>
        <v>196.64552448101227</v>
      </c>
      <c r="H68" s="186">
        <f t="shared" si="0"/>
        <v>0.98322762240506134</v>
      </c>
    </row>
    <row r="69" spans="1:8" ht="27" customHeight="1" x14ac:dyDescent="0.4">
      <c r="A69" s="172" t="s">
        <v>103</v>
      </c>
      <c r="B69" s="194">
        <f>(D47*B68)/B56*B57</f>
        <v>321.54799999999994</v>
      </c>
      <c r="C69" s="315"/>
      <c r="D69" s="318"/>
      <c r="E69" s="185">
        <v>2</v>
      </c>
      <c r="F69" s="137">
        <v>7665853</v>
      </c>
      <c r="G69" s="272">
        <f>IF(ISBLANK(F69),"-",(F69/$D$50*$D$47*$B$68)*($B$57/$D$68))</f>
        <v>197.07510812379132</v>
      </c>
      <c r="H69" s="186">
        <f t="shared" si="0"/>
        <v>0.9853755406189566</v>
      </c>
    </row>
    <row r="70" spans="1:8" ht="26.25" customHeight="1" x14ac:dyDescent="0.4">
      <c r="A70" s="327" t="s">
        <v>76</v>
      </c>
      <c r="B70" s="328"/>
      <c r="C70" s="315"/>
      <c r="D70" s="318"/>
      <c r="E70" s="185">
        <v>3</v>
      </c>
      <c r="F70" s="137">
        <v>7641248</v>
      </c>
      <c r="G70" s="272">
        <f>IF(ISBLANK(F70),"-",(F70/$D$50*$D$47*$B$68)*($B$57/$D$68))</f>
        <v>196.44255842118341</v>
      </c>
      <c r="H70" s="186">
        <f t="shared" si="0"/>
        <v>0.98221279210591705</v>
      </c>
    </row>
    <row r="71" spans="1:8" ht="27" customHeight="1" x14ac:dyDescent="0.4">
      <c r="A71" s="329"/>
      <c r="B71" s="330"/>
      <c r="C71" s="326"/>
      <c r="D71" s="319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69</v>
      </c>
      <c r="G72" s="278">
        <f>AVERAGE(G60:G71)</f>
        <v>196.80827825608068</v>
      </c>
      <c r="H72" s="199">
        <f>AVERAGE(H60:H71)</f>
        <v>0.98404139128040358</v>
      </c>
    </row>
    <row r="73" spans="1:8" ht="26.25" customHeight="1" x14ac:dyDescent="0.4">
      <c r="C73" s="196"/>
      <c r="D73" s="196"/>
      <c r="E73" s="196"/>
      <c r="F73" s="200" t="s">
        <v>82</v>
      </c>
      <c r="G73" s="274">
        <f>STDEV(G60:G71)/G72</f>
        <v>1.3493265337251852E-3</v>
      </c>
      <c r="H73" s="274">
        <f>STDEV(H60:H71)/H72</f>
        <v>1.3493265337251683E-3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104</v>
      </c>
      <c r="B76" s="204" t="s">
        <v>105</v>
      </c>
      <c r="C76" s="322" t="str">
        <f>B20</f>
        <v>Fluconazole</v>
      </c>
      <c r="D76" s="322"/>
      <c r="E76" s="205" t="s">
        <v>106</v>
      </c>
      <c r="F76" s="205"/>
      <c r="G76" s="206">
        <f>H72</f>
        <v>0.98404139128040358</v>
      </c>
      <c r="H76" s="207"/>
    </row>
    <row r="77" spans="1:8" ht="18.75" x14ac:dyDescent="0.3">
      <c r="A77" s="107" t="s">
        <v>107</v>
      </c>
      <c r="B77" s="107" t="s">
        <v>108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8" t="str">
        <f>B26</f>
        <v>Fluconazole USP</v>
      </c>
      <c r="C79" s="308"/>
    </row>
    <row r="80" spans="1:8" ht="26.25" customHeight="1" x14ac:dyDescent="0.4">
      <c r="A80" s="109" t="s">
        <v>46</v>
      </c>
      <c r="B80" s="308" t="str">
        <f>B27</f>
        <v>F1-1</v>
      </c>
      <c r="C80" s="308"/>
    </row>
    <row r="81" spans="1:12" ht="27" customHeight="1" x14ac:dyDescent="0.4">
      <c r="A81" s="109" t="s">
        <v>6</v>
      </c>
      <c r="B81" s="208">
        <f>B28</f>
        <v>98.98</v>
      </c>
    </row>
    <row r="82" spans="1:12" s="14" customFormat="1" ht="27" customHeight="1" x14ac:dyDescent="0.4">
      <c r="A82" s="109" t="s">
        <v>47</v>
      </c>
      <c r="B82" s="111">
        <v>0</v>
      </c>
      <c r="C82" s="299" t="s">
        <v>48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">
      <c r="A83" s="109" t="s">
        <v>49</v>
      </c>
      <c r="B83" s="113">
        <f>B81-B82</f>
        <v>98.98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50</v>
      </c>
      <c r="B84" s="116">
        <v>1</v>
      </c>
      <c r="C84" s="302" t="s">
        <v>109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">
      <c r="A85" s="109" t="s">
        <v>52</v>
      </c>
      <c r="B85" s="116">
        <v>1</v>
      </c>
      <c r="C85" s="302" t="s">
        <v>110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56</v>
      </c>
      <c r="B89" s="123">
        <v>100</v>
      </c>
      <c r="D89" s="209" t="s">
        <v>57</v>
      </c>
      <c r="E89" s="210"/>
      <c r="F89" s="305" t="s">
        <v>58</v>
      </c>
      <c r="G89" s="307"/>
    </row>
    <row r="90" spans="1:12" ht="27" customHeight="1" x14ac:dyDescent="0.4">
      <c r="A90" s="124" t="s">
        <v>59</v>
      </c>
      <c r="B90" s="125">
        <v>1</v>
      </c>
      <c r="C90" s="211" t="s">
        <v>60</v>
      </c>
      <c r="D90" s="127" t="s">
        <v>61</v>
      </c>
      <c r="E90" s="128" t="s">
        <v>62</v>
      </c>
      <c r="F90" s="127" t="s">
        <v>61</v>
      </c>
      <c r="G90" s="212" t="s">
        <v>62</v>
      </c>
      <c r="I90" s="130" t="s">
        <v>63</v>
      </c>
    </row>
    <row r="91" spans="1:12" ht="26.25" customHeight="1" x14ac:dyDescent="0.4">
      <c r="A91" s="124" t="s">
        <v>64</v>
      </c>
      <c r="B91" s="125">
        <v>1</v>
      </c>
      <c r="C91" s="213">
        <v>1</v>
      </c>
      <c r="D91" s="132">
        <v>7624268</v>
      </c>
      <c r="E91" s="133">
        <f>IF(ISBLANK(D91),"-",$D$101/$D$98*D91)</f>
        <v>8706721.9811856002</v>
      </c>
      <c r="F91" s="132">
        <v>8666618</v>
      </c>
      <c r="G91" s="134">
        <f>IF(ISBLANK(F91),"-",$D$101/$F$98*F91)</f>
        <v>8617191.684281135</v>
      </c>
      <c r="I91" s="135"/>
    </row>
    <row r="92" spans="1:12" ht="26.25" customHeight="1" x14ac:dyDescent="0.4">
      <c r="A92" s="124" t="s">
        <v>65</v>
      </c>
      <c r="B92" s="125">
        <v>1</v>
      </c>
      <c r="C92" s="197">
        <v>2</v>
      </c>
      <c r="D92" s="137">
        <v>7623986</v>
      </c>
      <c r="E92" s="138">
        <f>IF(ISBLANK(D92),"-",$D$101/$D$98*D92)</f>
        <v>8706399.9442899004</v>
      </c>
      <c r="F92" s="137">
        <v>8668122</v>
      </c>
      <c r="G92" s="139">
        <f>IF(ISBLANK(F92),"-",$D$101/$F$98*F92)</f>
        <v>8618687.1068661809</v>
      </c>
      <c r="I92" s="309">
        <f>ABS((F96/D96*D95)-F95)/D95</f>
        <v>1.2811861382019424E-2</v>
      </c>
    </row>
    <row r="93" spans="1:12" ht="26.25" customHeight="1" x14ac:dyDescent="0.4">
      <c r="A93" s="124" t="s">
        <v>66</v>
      </c>
      <c r="B93" s="125">
        <v>1</v>
      </c>
      <c r="C93" s="197">
        <v>3</v>
      </c>
      <c r="D93" s="137">
        <v>7644745</v>
      </c>
      <c r="E93" s="138">
        <f>IF(ISBLANK(D93),"-",$D$101/$D$98*D93)</f>
        <v>8730106.1993175875</v>
      </c>
      <c r="F93" s="137">
        <v>8665138</v>
      </c>
      <c r="G93" s="139">
        <f>IF(ISBLANK(F93),"-",$D$101/$F$98*F93)</f>
        <v>8615720.1248224471</v>
      </c>
      <c r="I93" s="309"/>
    </row>
    <row r="94" spans="1:12" ht="27" customHeight="1" x14ac:dyDescent="0.4">
      <c r="A94" s="124" t="s">
        <v>67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68</v>
      </c>
      <c r="B95" s="125">
        <v>1</v>
      </c>
      <c r="C95" s="216" t="s">
        <v>69</v>
      </c>
      <c r="D95" s="217">
        <f>AVERAGE(D91:D94)</f>
        <v>7630999.666666667</v>
      </c>
      <c r="E95" s="148">
        <f>AVERAGE(E91:E94)</f>
        <v>8714409.37493103</v>
      </c>
      <c r="F95" s="218">
        <f>AVERAGE(F91:F94)</f>
        <v>8666626</v>
      </c>
      <c r="G95" s="219">
        <f>AVERAGE(G91:G94)</f>
        <v>8617199.6386565864</v>
      </c>
    </row>
    <row r="96" spans="1:12" ht="26.25" customHeight="1" x14ac:dyDescent="0.4">
      <c r="A96" s="124" t="s">
        <v>70</v>
      </c>
      <c r="B96" s="110">
        <v>1</v>
      </c>
      <c r="C96" s="220" t="s">
        <v>111</v>
      </c>
      <c r="D96" s="221">
        <v>19.66</v>
      </c>
      <c r="E96" s="140"/>
      <c r="F96" s="152">
        <v>22.58</v>
      </c>
    </row>
    <row r="97" spans="1:10" ht="26.25" customHeight="1" x14ac:dyDescent="0.4">
      <c r="A97" s="124" t="s">
        <v>72</v>
      </c>
      <c r="B97" s="110">
        <v>1</v>
      </c>
      <c r="C97" s="222" t="s">
        <v>112</v>
      </c>
      <c r="D97" s="223">
        <f>D96*$B$87</f>
        <v>19.66</v>
      </c>
      <c r="E97" s="155"/>
      <c r="F97" s="154">
        <f>F96*$B$87</f>
        <v>22.58</v>
      </c>
    </row>
    <row r="98" spans="1:10" ht="19.5" customHeight="1" x14ac:dyDescent="0.3">
      <c r="A98" s="124" t="s">
        <v>74</v>
      </c>
      <c r="B98" s="224">
        <f>(B97/B96)*(B95/B94)*(B93/B92)*(B91/B90)*B89</f>
        <v>100</v>
      </c>
      <c r="C98" s="222" t="s">
        <v>113</v>
      </c>
      <c r="D98" s="225">
        <f>D97*$B$83/100</f>
        <v>19.459468000000001</v>
      </c>
      <c r="E98" s="158"/>
      <c r="F98" s="157">
        <f>F97*$B$83/100</f>
        <v>22.349683999999996</v>
      </c>
    </row>
    <row r="99" spans="1:10" ht="19.5" customHeight="1" x14ac:dyDescent="0.3">
      <c r="A99" s="310" t="s">
        <v>76</v>
      </c>
      <c r="B99" s="324"/>
      <c r="C99" s="222" t="s">
        <v>114</v>
      </c>
      <c r="D99" s="226">
        <f>D98/$B$98</f>
        <v>0.19459468000000002</v>
      </c>
      <c r="E99" s="158"/>
      <c r="F99" s="161">
        <f>F98/$B$98</f>
        <v>0.22349683999999997</v>
      </c>
      <c r="G99" s="227"/>
      <c r="H99" s="150"/>
    </row>
    <row r="100" spans="1:10" ht="19.5" customHeight="1" x14ac:dyDescent="0.3">
      <c r="A100" s="312"/>
      <c r="B100" s="325"/>
      <c r="C100" s="222" t="s">
        <v>78</v>
      </c>
      <c r="D100" s="228">
        <f>$B$56/$B$116</f>
        <v>0.22222222222222221</v>
      </c>
      <c r="F100" s="166"/>
      <c r="G100" s="229"/>
      <c r="H100" s="150"/>
    </row>
    <row r="101" spans="1:10" ht="18.75" x14ac:dyDescent="0.3">
      <c r="C101" s="222" t="s">
        <v>79</v>
      </c>
      <c r="D101" s="223">
        <f>D100*$B$98</f>
        <v>22.222222222222221</v>
      </c>
      <c r="F101" s="166"/>
      <c r="G101" s="227"/>
      <c r="H101" s="150"/>
    </row>
    <row r="102" spans="1:10" ht="19.5" customHeight="1" x14ac:dyDescent="0.3">
      <c r="C102" s="230" t="s">
        <v>80</v>
      </c>
      <c r="D102" s="231">
        <f>D101/B34</f>
        <v>22.222222222222221</v>
      </c>
      <c r="F102" s="170"/>
      <c r="G102" s="227"/>
      <c r="H102" s="150"/>
      <c r="J102" s="232"/>
    </row>
    <row r="103" spans="1:10" ht="18.75" x14ac:dyDescent="0.3">
      <c r="C103" s="233" t="s">
        <v>115</v>
      </c>
      <c r="D103" s="234">
        <f>AVERAGE(E91:E94,G91:G94)</f>
        <v>8665804.5067938082</v>
      </c>
      <c r="F103" s="170"/>
      <c r="G103" s="235"/>
      <c r="H103" s="150"/>
      <c r="J103" s="236"/>
    </row>
    <row r="104" spans="1:10" ht="18.75" x14ac:dyDescent="0.3">
      <c r="C104" s="200" t="s">
        <v>82</v>
      </c>
      <c r="D104" s="237">
        <f>STDEV(E91:E94,G91:G94)/D103</f>
        <v>6.2246835990389304E-3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116</v>
      </c>
      <c r="B107" s="123">
        <v>900</v>
      </c>
      <c r="C107" s="239" t="s">
        <v>117</v>
      </c>
      <c r="D107" s="240" t="s">
        <v>61</v>
      </c>
      <c r="E107" s="241" t="s">
        <v>118</v>
      </c>
      <c r="F107" s="242" t="s">
        <v>119</v>
      </c>
    </row>
    <row r="108" spans="1:10" ht="26.25" customHeight="1" x14ac:dyDescent="0.4">
      <c r="A108" s="124" t="s">
        <v>120</v>
      </c>
      <c r="B108" s="125">
        <v>1</v>
      </c>
      <c r="C108" s="243">
        <v>1</v>
      </c>
      <c r="D108" s="244">
        <v>8384818</v>
      </c>
      <c r="E108" s="275">
        <f t="shared" ref="E108:E113" si="1">IF(ISBLANK(D108),"-",D108/$D$103*$D$100*$B$116)</f>
        <v>193.51505087442206</v>
      </c>
      <c r="F108" s="245">
        <f t="shared" ref="F108:F113" si="2">IF(ISBLANK(D108), "-", E108/$B$56)</f>
        <v>0.96757525437211034</v>
      </c>
    </row>
    <row r="109" spans="1:10" ht="26.25" customHeight="1" x14ac:dyDescent="0.4">
      <c r="A109" s="124" t="s">
        <v>93</v>
      </c>
      <c r="B109" s="125">
        <v>1</v>
      </c>
      <c r="C109" s="243">
        <v>2</v>
      </c>
      <c r="D109" s="244">
        <v>8307222</v>
      </c>
      <c r="E109" s="276">
        <f t="shared" si="1"/>
        <v>191.72419579710837</v>
      </c>
      <c r="F109" s="246">
        <f t="shared" si="2"/>
        <v>0.95862097898554177</v>
      </c>
    </row>
    <row r="110" spans="1:10" ht="26.25" customHeight="1" x14ac:dyDescent="0.4">
      <c r="A110" s="124" t="s">
        <v>94</v>
      </c>
      <c r="B110" s="125">
        <v>1</v>
      </c>
      <c r="C110" s="243">
        <v>3</v>
      </c>
      <c r="D110" s="244">
        <v>8096135</v>
      </c>
      <c r="E110" s="276">
        <f t="shared" si="1"/>
        <v>186.85247269662733</v>
      </c>
      <c r="F110" s="246">
        <f t="shared" si="2"/>
        <v>0.93426236348313663</v>
      </c>
    </row>
    <row r="111" spans="1:10" ht="26.25" customHeight="1" x14ac:dyDescent="0.4">
      <c r="A111" s="124" t="s">
        <v>95</v>
      </c>
      <c r="B111" s="125">
        <v>1</v>
      </c>
      <c r="C111" s="243">
        <v>4</v>
      </c>
      <c r="D111" s="244">
        <v>8088338</v>
      </c>
      <c r="E111" s="276">
        <f t="shared" si="1"/>
        <v>186.67252402610541</v>
      </c>
      <c r="F111" s="246">
        <f t="shared" si="2"/>
        <v>0.93336262013052707</v>
      </c>
    </row>
    <row r="112" spans="1:10" ht="26.25" customHeight="1" x14ac:dyDescent="0.4">
      <c r="A112" s="124" t="s">
        <v>96</v>
      </c>
      <c r="B112" s="125">
        <v>1</v>
      </c>
      <c r="C112" s="243">
        <v>5</v>
      </c>
      <c r="D112" s="244">
        <v>8522698</v>
      </c>
      <c r="E112" s="276">
        <f t="shared" si="1"/>
        <v>196.69721358976847</v>
      </c>
      <c r="F112" s="246">
        <f t="shared" si="2"/>
        <v>0.9834860679488423</v>
      </c>
    </row>
    <row r="113" spans="1:10" ht="26.25" customHeight="1" x14ac:dyDescent="0.4">
      <c r="A113" s="124" t="s">
        <v>98</v>
      </c>
      <c r="B113" s="125">
        <v>1</v>
      </c>
      <c r="C113" s="247">
        <v>6</v>
      </c>
      <c r="D113" s="248">
        <v>8050943</v>
      </c>
      <c r="E113" s="277">
        <f t="shared" si="1"/>
        <v>185.80947663170176</v>
      </c>
      <c r="F113" s="249">
        <f t="shared" si="2"/>
        <v>0.92904738315850877</v>
      </c>
    </row>
    <row r="114" spans="1:10" ht="26.25" customHeight="1" x14ac:dyDescent="0.4">
      <c r="A114" s="124" t="s">
        <v>99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100</v>
      </c>
      <c r="B115" s="125">
        <v>1</v>
      </c>
      <c r="C115" s="243"/>
      <c r="D115" s="251" t="s">
        <v>69</v>
      </c>
      <c r="E115" s="279">
        <f>AVERAGE(E108:E113)</f>
        <v>190.21182226928889</v>
      </c>
      <c r="F115" s="252">
        <f>AVERAGE(F108:F113)</f>
        <v>0.9510591113464445</v>
      </c>
    </row>
    <row r="116" spans="1:10" ht="27" customHeight="1" x14ac:dyDescent="0.4">
      <c r="A116" s="124" t="s">
        <v>101</v>
      </c>
      <c r="B116" s="156">
        <f>(B115/B114)*(B113/B112)*(B111/B110)*(B109/B108)*B107</f>
        <v>900</v>
      </c>
      <c r="C116" s="253"/>
      <c r="D116" s="216" t="s">
        <v>82</v>
      </c>
      <c r="E116" s="254">
        <f>STDEV(E108:E113)/E115</f>
        <v>2.3328587537279968E-2</v>
      </c>
      <c r="F116" s="254">
        <f>STDEV(F108:F113)/F115</f>
        <v>2.3328587537279965E-2</v>
      </c>
      <c r="I116" s="98"/>
    </row>
    <row r="117" spans="1:10" ht="27" customHeight="1" x14ac:dyDescent="0.4">
      <c r="A117" s="310" t="s">
        <v>76</v>
      </c>
      <c r="B117" s="311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312"/>
      <c r="B118" s="313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104</v>
      </c>
      <c r="B120" s="204" t="s">
        <v>121</v>
      </c>
      <c r="C120" s="322" t="str">
        <f>B20</f>
        <v>Fluconazole</v>
      </c>
      <c r="D120" s="322"/>
      <c r="E120" s="205" t="s">
        <v>122</v>
      </c>
      <c r="F120" s="205"/>
      <c r="G120" s="206">
        <f>F115</f>
        <v>0.9510591113464445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323" t="s">
        <v>24</v>
      </c>
      <c r="C122" s="323"/>
      <c r="E122" s="211" t="s">
        <v>25</v>
      </c>
      <c r="F122" s="260"/>
      <c r="G122" s="323" t="s">
        <v>26</v>
      </c>
      <c r="H122" s="323"/>
    </row>
    <row r="123" spans="1:10" ht="69.95" customHeight="1" x14ac:dyDescent="0.3">
      <c r="A123" s="261" t="s">
        <v>27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28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Fluconazole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2016-04-14T07:04:15Z</dcterms:modified>
</cp:coreProperties>
</file>