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3"/>
  </bookViews>
  <sheets>
    <sheet name="Uniformity" sheetId="2" r:id="rId1"/>
    <sheet name="SST " sheetId="5" r:id="rId2"/>
    <sheet name="Sulfamethoxazole" sheetId="6" r:id="rId3"/>
    <sheet name="Trimethoprim" sheetId="7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20" i="7" l="1"/>
  <c r="B116" i="7"/>
  <c r="D100" i="7" s="1"/>
  <c r="B98" i="7"/>
  <c r="F96" i="7"/>
  <c r="D96" i="7"/>
  <c r="F95" i="7"/>
  <c r="D95" i="7"/>
  <c r="G94" i="7"/>
  <c r="E94" i="7"/>
  <c r="B87" i="7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D44" i="7" s="1"/>
  <c r="B30" i="7"/>
  <c r="C120" i="6"/>
  <c r="B116" i="6"/>
  <c r="D100" i="6" s="1"/>
  <c r="B98" i="6"/>
  <c r="F96" i="6"/>
  <c r="F97" i="6" s="1"/>
  <c r="D96" i="6"/>
  <c r="D97" i="6" s="1"/>
  <c r="F95" i="6"/>
  <c r="D95" i="6"/>
  <c r="G94" i="6"/>
  <c r="E94" i="6"/>
  <c r="B87" i="6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D44" i="6" s="1"/>
  <c r="D45" i="6" s="1"/>
  <c r="D46" i="6" s="1"/>
  <c r="B30" i="6"/>
  <c r="B41" i="5"/>
  <c r="E39" i="5"/>
  <c r="D39" i="5"/>
  <c r="C39" i="5"/>
  <c r="B39" i="5"/>
  <c r="B40" i="5" s="1"/>
  <c r="B30" i="5"/>
  <c r="B19" i="5"/>
  <c r="F17" i="5"/>
  <c r="E17" i="5"/>
  <c r="D17" i="5"/>
  <c r="C17" i="5"/>
  <c r="B17" i="5"/>
  <c r="B18" i="5" s="1"/>
  <c r="B8" i="5"/>
  <c r="C49" i="2"/>
  <c r="C46" i="2"/>
  <c r="B57" i="6" s="1"/>
  <c r="C45" i="2"/>
  <c r="D43" i="2"/>
  <c r="D41" i="2"/>
  <c r="D39" i="2"/>
  <c r="D37" i="2"/>
  <c r="D35" i="2"/>
  <c r="D33" i="2"/>
  <c r="D31" i="2"/>
  <c r="D29" i="2"/>
  <c r="D27" i="2"/>
  <c r="D25" i="2"/>
  <c r="C19" i="2"/>
  <c r="B69" i="6" l="1"/>
  <c r="C50" i="2"/>
  <c r="D26" i="2"/>
  <c r="D30" i="2"/>
  <c r="D34" i="2"/>
  <c r="D38" i="2"/>
  <c r="D42" i="2"/>
  <c r="B49" i="2"/>
  <c r="D50" i="2"/>
  <c r="D101" i="7"/>
  <c r="D102" i="7" s="1"/>
  <c r="D97" i="7"/>
  <c r="D98" i="7" s="1"/>
  <c r="D24" i="2"/>
  <c r="D28" i="2"/>
  <c r="D32" i="2"/>
  <c r="D36" i="2"/>
  <c r="D40" i="2"/>
  <c r="D49" i="2"/>
  <c r="F44" i="7"/>
  <c r="F45" i="7" s="1"/>
  <c r="F46" i="7" s="1"/>
  <c r="F97" i="7"/>
  <c r="B57" i="7"/>
  <c r="D45" i="7"/>
  <c r="D46" i="7" s="1"/>
  <c r="I92" i="7"/>
  <c r="I39" i="7"/>
  <c r="D101" i="6"/>
  <c r="I39" i="6"/>
  <c r="B69" i="7"/>
  <c r="F98" i="7"/>
  <c r="F99" i="7" s="1"/>
  <c r="E38" i="7"/>
  <c r="D49" i="7"/>
  <c r="G40" i="7"/>
  <c r="E39" i="7"/>
  <c r="F98" i="6"/>
  <c r="F99" i="6" s="1"/>
  <c r="D49" i="6"/>
  <c r="E40" i="6"/>
  <c r="E39" i="6"/>
  <c r="E38" i="6"/>
  <c r="D98" i="6"/>
  <c r="D99" i="6" s="1"/>
  <c r="I92" i="6"/>
  <c r="F44" i="6"/>
  <c r="F45" i="6" s="1"/>
  <c r="F46" i="6" s="1"/>
  <c r="D99" i="7" l="1"/>
  <c r="E91" i="7"/>
  <c r="E40" i="7"/>
  <c r="D50" i="7" s="1"/>
  <c r="G93" i="6"/>
  <c r="E91" i="6"/>
  <c r="G38" i="7"/>
  <c r="G39" i="7"/>
  <c r="E92" i="7"/>
  <c r="G92" i="7"/>
  <c r="G91" i="7"/>
  <c r="G93" i="7"/>
  <c r="E93" i="7"/>
  <c r="D102" i="6"/>
  <c r="G39" i="6"/>
  <c r="G42" i="7"/>
  <c r="E42" i="6"/>
  <c r="G38" i="6"/>
  <c r="E93" i="6"/>
  <c r="E92" i="6"/>
  <c r="G40" i="6"/>
  <c r="G91" i="6"/>
  <c r="G92" i="6"/>
  <c r="E42" i="7" l="1"/>
  <c r="G95" i="7"/>
  <c r="D52" i="7"/>
  <c r="D103" i="7"/>
  <c r="D104" i="7" s="1"/>
  <c r="E95" i="7"/>
  <c r="D105" i="7"/>
  <c r="G95" i="6"/>
  <c r="E95" i="6"/>
  <c r="D52" i="6"/>
  <c r="G69" i="7"/>
  <c r="H69" i="7" s="1"/>
  <c r="G61" i="7"/>
  <c r="H61" i="7" s="1"/>
  <c r="D51" i="7"/>
  <c r="G68" i="7"/>
  <c r="H68" i="7" s="1"/>
  <c r="G65" i="7"/>
  <c r="H65" i="7" s="1"/>
  <c r="G70" i="7"/>
  <c r="H70" i="7" s="1"/>
  <c r="G62" i="7"/>
  <c r="H62" i="7" s="1"/>
  <c r="G60" i="7"/>
  <c r="G66" i="7"/>
  <c r="H66" i="7" s="1"/>
  <c r="G64" i="7"/>
  <c r="H64" i="7" s="1"/>
  <c r="E113" i="7"/>
  <c r="F113" i="7" s="1"/>
  <c r="E111" i="7"/>
  <c r="F111" i="7" s="1"/>
  <c r="E110" i="7"/>
  <c r="F110" i="7" s="1"/>
  <c r="E108" i="7"/>
  <c r="D105" i="6"/>
  <c r="G42" i="6"/>
  <c r="D103" i="6"/>
  <c r="D50" i="6"/>
  <c r="E112" i="7" l="1"/>
  <c r="F112" i="7" s="1"/>
  <c r="E109" i="7"/>
  <c r="F109" i="7" s="1"/>
  <c r="G68" i="6"/>
  <c r="H68" i="6" s="1"/>
  <c r="G70" i="6"/>
  <c r="H70" i="6" s="1"/>
  <c r="G65" i="6"/>
  <c r="H65" i="6" s="1"/>
  <c r="G61" i="6"/>
  <c r="H61" i="6" s="1"/>
  <c r="D51" i="6"/>
  <c r="G69" i="6"/>
  <c r="H69" i="6" s="1"/>
  <c r="G66" i="6"/>
  <c r="H66" i="6" s="1"/>
  <c r="G64" i="6"/>
  <c r="H64" i="6" s="1"/>
  <c r="G62" i="6"/>
  <c r="H62" i="6" s="1"/>
  <c r="G60" i="6"/>
  <c r="E117" i="7"/>
  <c r="F108" i="7"/>
  <c r="E115" i="7"/>
  <c r="E116" i="7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74" i="7"/>
  <c r="G72" i="7"/>
  <c r="G73" i="7" s="1"/>
  <c r="H60" i="7"/>
  <c r="H74" i="7" l="1"/>
  <c r="H72" i="7"/>
  <c r="G76" i="7" s="1"/>
  <c r="E115" i="6"/>
  <c r="E116" i="6" s="1"/>
  <c r="E117" i="6"/>
  <c r="F108" i="6"/>
  <c r="H60" i="6"/>
  <c r="G74" i="6"/>
  <c r="G72" i="6"/>
  <c r="G73" i="6" s="1"/>
  <c r="F115" i="7"/>
  <c r="G120" i="7" s="1"/>
  <c r="F117" i="7"/>
  <c r="F116" i="7" l="1"/>
  <c r="H73" i="7"/>
  <c r="F117" i="6"/>
  <c r="F115" i="6"/>
  <c r="G120" i="6" s="1"/>
  <c r="H74" i="6"/>
  <c r="H72" i="6"/>
  <c r="G76" i="6" s="1"/>
  <c r="F116" i="6" l="1"/>
  <c r="H73" i="6"/>
</calcChain>
</file>

<file path=xl/sharedStrings.xml><?xml version="1.0" encoding="utf-8"?>
<sst xmlns="http://schemas.openxmlformats.org/spreadsheetml/2006/main" count="396" uniqueCount="136">
  <si>
    <t>HPLC System Suitability Report</t>
  </si>
  <si>
    <t>Analysis Data</t>
  </si>
  <si>
    <t>Sample(s)</t>
  </si>
  <si>
    <t>Reference Substance:</t>
  </si>
  <si>
    <t>SULFRAN -DS TABLETS</t>
  </si>
  <si>
    <t>% age Purity:</t>
  </si>
  <si>
    <t>NDQB201604855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</si>
  <si>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</si>
  <si>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</si>
  <si>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</si>
  <si>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</si>
  <si>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2016-04-08 14:11:09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</si>
  <si>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</si>
  <si>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</si>
  <si>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</si>
  <si>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</si>
  <si>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</si>
  <si>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</si>
  <si>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</si>
  <si>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</si>
  <si>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</si>
  <si>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</si>
  <si>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</si>
  <si>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</si>
  <si>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</si>
  <si>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</si>
  <si>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</si>
  <si>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</si>
  <si>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</si>
  <si>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</si>
  <si>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</si>
  <si>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</si>
  <si>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</si>
  <si>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</si>
  <si>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</si>
  <si>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</si>
  <si>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</si>
  <si>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</si>
  <si>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</si>
  <si>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</si>
  <si>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</si>
  <si>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</si>
  <si>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</si>
  <si>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</si>
  <si>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</si>
  <si>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</si>
  <si>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</si>
  <si>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</si>
  <si>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</si>
  <si>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</si>
  <si>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</si>
  <si>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</si>
  <si>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</si>
  <si>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</si>
  <si>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</si>
  <si>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</si>
  <si>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</si>
  <si>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</si>
  <si>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</si>
  <si>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</si>
  <si>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</si>
  <si>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</si>
  <si>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</si>
  <si>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</si>
  <si>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</si>
  <si>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</si>
  <si>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</si>
  <si>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</si>
  <si>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</si>
  <si>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</si>
  <si>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</si>
  <si>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</si>
  <si>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</si>
  <si>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</si>
  <si>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</si>
  <si>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</si>
  <si>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</si>
  <si>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</si>
  <si>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</si>
  <si>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</si>
  <si>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</si>
  <si>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</si>
  <si>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</si>
  <si>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</si>
  <si>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</si>
  <si>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</si>
  <si>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</si>
  <si>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</si>
  <si>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</si>
  <si>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</si>
  <si>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</si>
  <si>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</si>
  <si>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</si>
  <si>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</si>
  <si>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</si>
  <si>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</si>
  <si>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</si>
  <si>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</si>
  <si>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</si>
  <si>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</si>
  <si>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</si>
  <si>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</si>
  <si>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</si>
  <si>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</si>
  <si>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</si>
  <si>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</si>
  <si>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</si>
  <si>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</si>
  <si>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</si>
  <si>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</si>
  <si>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</si>
  <si>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</si>
  <si>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Sulfran DS Tablets</t>
  </si>
  <si>
    <t>each tablets contains sulphamethoxazole 800mg Trimethoprim 160mg.</t>
  </si>
  <si>
    <t>Each tablet contains: Sulphamethoxazole B.P. 800 mg and Trimethoprim B.P. 160 mg.</t>
  </si>
  <si>
    <t>S12-1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</si>
  <si>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</si>
  <si>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</si>
  <si>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</si>
  <si>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</si>
  <si>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</si>
  <si>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</si>
  <si>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</si>
  <si>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</si>
  <si>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</si>
  <si>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</si>
  <si>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</si>
  <si>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</si>
  <si>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</si>
  <si>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</si>
  <si>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</si>
  <si>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</si>
  <si>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</si>
  <si>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NDQB201603855</t>
  </si>
  <si>
    <t>27th April 2016</t>
  </si>
  <si>
    <t>T7-2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</si>
</sst>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2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2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21" fillId="2" borderId="0" xfId="1" applyFont="1" applyFill="1"/>
    <xf numFmtId="0" fontId="24" fillId="2" borderId="0" xfId="1" applyFont="1" applyFill="1"/>
    <xf numFmtId="0" fontId="25" fillId="2" borderId="0" xfId="1" applyFont="1" applyFill="1" applyAlignment="1" applyProtection="1">
      <alignment horizontal="right"/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6" fillId="2" borderId="0" xfId="1" applyFont="1" applyFill="1"/>
    <xf numFmtId="0" fontId="26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Protection="1">
      <protection locked="0"/>
    </xf>
    <xf numFmtId="168" fontId="26" fillId="3" borderId="0" xfId="1" applyNumberFormat="1" applyFont="1" applyFill="1" applyAlignment="1" applyProtection="1">
      <alignment horizontal="center"/>
      <protection locked="0"/>
    </xf>
    <xf numFmtId="169" fontId="21" fillId="2" borderId="0" xfId="1" applyNumberFormat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24" fillId="2" borderId="0" xfId="1" applyFont="1" applyFill="1" applyAlignment="1">
      <alignment horizontal="right"/>
    </xf>
    <xf numFmtId="0" fontId="21" fillId="2" borderId="0" xfId="1" applyFont="1" applyFill="1" applyAlignment="1">
      <alignment horizontal="right"/>
    </xf>
    <xf numFmtId="0" fontId="25" fillId="3" borderId="0" xfId="1" applyFont="1" applyFill="1" applyAlignment="1" applyProtection="1">
      <alignment horizontal="center"/>
      <protection locked="0"/>
    </xf>
    <xf numFmtId="0" fontId="26" fillId="3" borderId="0" xfId="1" applyFont="1" applyFill="1" applyAlignment="1" applyProtection="1">
      <alignment horizontal="center"/>
      <protection locked="0"/>
    </xf>
    <xf numFmtId="0" fontId="27" fillId="2" borderId="0" xfId="1" applyFont="1" applyFill="1" applyAlignment="1">
      <alignment vertical="center" wrapText="1"/>
    </xf>
    <xf numFmtId="0" fontId="24" fillId="2" borderId="0" xfId="1" applyFont="1" applyFill="1" applyAlignment="1">
      <alignment horizontal="center"/>
    </xf>
    <xf numFmtId="0" fontId="28" fillId="2" borderId="0" xfId="1" applyFont="1" applyFill="1"/>
    <xf numFmtId="0" fontId="29" fillId="2" borderId="0" xfId="1" applyFont="1" applyFill="1"/>
    <xf numFmtId="2" fontId="25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 applyAlignment="1">
      <alignment vertical="center" wrapText="1"/>
    </xf>
    <xf numFmtId="0" fontId="30" fillId="2" borderId="0" xfId="1" applyFont="1" applyFill="1"/>
    <xf numFmtId="2" fontId="24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left" vertical="center" wrapText="1"/>
    </xf>
    <xf numFmtId="170" fontId="24" fillId="2" borderId="0" xfId="1" applyNumberFormat="1" applyFont="1" applyFill="1" applyAlignment="1">
      <alignment horizontal="center"/>
    </xf>
    <xf numFmtId="0" fontId="21" fillId="2" borderId="21" xfId="1" applyFont="1" applyFill="1" applyBorder="1" applyAlignment="1">
      <alignment horizontal="right"/>
    </xf>
    <xf numFmtId="0" fontId="25" fillId="3" borderId="22" xfId="1" applyFont="1" applyFill="1" applyBorder="1" applyAlignment="1" applyProtection="1">
      <alignment horizontal="center"/>
      <protection locked="0"/>
    </xf>
    <xf numFmtId="0" fontId="21" fillId="2" borderId="23" xfId="1" applyFont="1" applyFill="1" applyBorder="1" applyAlignment="1">
      <alignment horizontal="right"/>
    </xf>
    <xf numFmtId="0" fontId="25" fillId="3" borderId="24" xfId="1" applyFont="1" applyFill="1" applyBorder="1" applyAlignment="1" applyProtection="1">
      <alignment horizontal="center"/>
      <protection locked="0"/>
    </xf>
    <xf numFmtId="0" fontId="24" fillId="2" borderId="22" xfId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0" fontId="24" fillId="2" borderId="26" xfId="1" applyFont="1" applyFill="1" applyBorder="1" applyAlignment="1">
      <alignment horizontal="center"/>
    </xf>
    <xf numFmtId="0" fontId="24" fillId="2" borderId="27" xfId="1" applyFont="1" applyFill="1" applyBorder="1" applyAlignment="1">
      <alignment horizontal="center"/>
    </xf>
    <xf numFmtId="0" fontId="24" fillId="2" borderId="12" xfId="1" applyFont="1" applyFill="1" applyBorder="1" applyAlignment="1">
      <alignment horizontal="center"/>
    </xf>
    <xf numFmtId="0" fontId="21" fillId="2" borderId="28" xfId="1" applyFont="1" applyFill="1" applyBorder="1" applyAlignment="1">
      <alignment horizontal="center"/>
    </xf>
    <xf numFmtId="0" fontId="25" fillId="3" borderId="29" xfId="1" applyFont="1" applyFill="1" applyBorder="1" applyAlignment="1" applyProtection="1">
      <alignment horizontal="center"/>
      <protection locked="0"/>
    </xf>
    <xf numFmtId="171" fontId="21" fillId="2" borderId="26" xfId="1" applyNumberFormat="1" applyFont="1" applyFill="1" applyBorder="1" applyAlignment="1">
      <alignment horizontal="center"/>
    </xf>
    <xf numFmtId="171" fontId="21" fillId="2" borderId="30" xfId="1" applyNumberFormat="1" applyFont="1" applyFill="1" applyBorder="1" applyAlignment="1">
      <alignment horizontal="center"/>
    </xf>
    <xf numFmtId="0" fontId="30" fillId="2" borderId="13" xfId="1" applyFont="1" applyFill="1" applyBorder="1"/>
    <xf numFmtId="0" fontId="21" fillId="2" borderId="24" xfId="1" applyFont="1" applyFill="1" applyBorder="1" applyAlignment="1">
      <alignment horizontal="center"/>
    </xf>
    <xf numFmtId="0" fontId="25" fillId="3" borderId="23" xfId="1" applyFont="1" applyFill="1" applyBorder="1" applyAlignment="1" applyProtection="1">
      <alignment horizontal="center"/>
      <protection locked="0"/>
    </xf>
    <xf numFmtId="171" fontId="21" fillId="2" borderId="31" xfId="1" applyNumberFormat="1" applyFont="1" applyFill="1" applyBorder="1" applyAlignment="1">
      <alignment horizontal="center"/>
    </xf>
    <xf numFmtId="171" fontId="21" fillId="2" borderId="32" xfId="1" applyNumberFormat="1" applyFont="1" applyFill="1" applyBorder="1" applyAlignment="1">
      <alignment horizontal="center"/>
    </xf>
    <xf numFmtId="0" fontId="21" fillId="2" borderId="33" xfId="1" applyFont="1" applyFill="1" applyBorder="1" applyAlignment="1">
      <alignment horizontal="center"/>
    </xf>
    <xf numFmtId="0" fontId="25" fillId="3" borderId="34" xfId="1" applyFont="1" applyFill="1" applyBorder="1" applyAlignment="1" applyProtection="1">
      <alignment horizontal="center"/>
      <protection locked="0"/>
    </xf>
    <xf numFmtId="171" fontId="21" fillId="2" borderId="35" xfId="1" applyNumberFormat="1" applyFont="1" applyFill="1" applyBorder="1" applyAlignment="1">
      <alignment horizontal="center"/>
    </xf>
    <xf numFmtId="171" fontId="21" fillId="2" borderId="36" xfId="1" applyNumberFormat="1" applyFont="1" applyFill="1" applyBorder="1" applyAlignment="1">
      <alignment horizontal="center"/>
    </xf>
    <xf numFmtId="0" fontId="21" fillId="2" borderId="15" xfId="1" applyFont="1" applyFill="1" applyBorder="1"/>
    <xf numFmtId="0" fontId="21" fillId="2" borderId="24" xfId="1" applyFont="1" applyFill="1" applyBorder="1" applyAlignment="1">
      <alignment horizontal="right"/>
    </xf>
    <xf numFmtId="1" fontId="24" fillId="6" borderId="37" xfId="1" applyNumberFormat="1" applyFont="1" applyFill="1" applyBorder="1" applyAlignment="1">
      <alignment horizontal="center"/>
    </xf>
    <xf numFmtId="171" fontId="24" fillId="6" borderId="38" xfId="1" applyNumberFormat="1" applyFont="1" applyFill="1" applyBorder="1" applyAlignment="1">
      <alignment horizontal="center"/>
    </xf>
    <xf numFmtId="171" fontId="24" fillId="6" borderId="39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21" fillId="2" borderId="40" xfId="1" applyFont="1" applyFill="1" applyBorder="1" applyAlignment="1">
      <alignment horizontal="right"/>
    </xf>
    <xf numFmtId="0" fontId="25" fillId="3" borderId="16" xfId="1" applyFont="1" applyFill="1" applyBorder="1" applyAlignment="1" applyProtection="1">
      <alignment horizontal="center"/>
      <protection locked="0"/>
    </xf>
    <xf numFmtId="0" fontId="21" fillId="2" borderId="11" xfId="1" applyFont="1" applyFill="1" applyBorder="1" applyAlignment="1">
      <alignment horizontal="right"/>
    </xf>
    <xf numFmtId="2" fontId="21" fillId="6" borderId="41" xfId="1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center"/>
    </xf>
    <xf numFmtId="2" fontId="21" fillId="7" borderId="41" xfId="1" applyNumberFormat="1" applyFont="1" applyFill="1" applyBorder="1" applyAlignment="1">
      <alignment horizontal="center"/>
    </xf>
    <xf numFmtId="2" fontId="21" fillId="2" borderId="0" xfId="1" applyNumberFormat="1" applyFont="1" applyFill="1" applyAlignment="1">
      <alignment horizontal="center"/>
    </xf>
    <xf numFmtId="166" fontId="21" fillId="6" borderId="41" xfId="1" applyNumberFormat="1" applyFont="1" applyFill="1" applyBorder="1" applyAlignment="1">
      <alignment horizontal="center"/>
    </xf>
    <xf numFmtId="166" fontId="21" fillId="2" borderId="0" xfId="1" applyNumberFormat="1" applyFont="1" applyFill="1" applyAlignment="1">
      <alignment horizontal="center"/>
    </xf>
    <xf numFmtId="166" fontId="21" fillId="6" borderId="17" xfId="1" applyNumberFormat="1" applyFont="1" applyFill="1" applyBorder="1" applyAlignment="1">
      <alignment horizontal="center"/>
    </xf>
    <xf numFmtId="0" fontId="21" fillId="2" borderId="42" xfId="1" applyFont="1" applyFill="1" applyBorder="1" applyAlignment="1">
      <alignment horizontal="right"/>
    </xf>
    <xf numFmtId="166" fontId="25" fillId="3" borderId="41" xfId="1" applyNumberFormat="1" applyFont="1" applyFill="1" applyBorder="1" applyAlignment="1" applyProtection="1">
      <alignment horizontal="center"/>
      <protection locked="0"/>
    </xf>
    <xf numFmtId="166" fontId="21" fillId="2" borderId="0" xfId="1" applyNumberFormat="1" applyFont="1" applyFill="1"/>
    <xf numFmtId="0" fontId="21" fillId="2" borderId="29" xfId="1" applyFont="1" applyFill="1" applyBorder="1" applyAlignment="1">
      <alignment horizontal="right"/>
    </xf>
    <xf numFmtId="1" fontId="21" fillId="2" borderId="0" xfId="1" applyNumberFormat="1" applyFont="1" applyFill="1" applyAlignment="1">
      <alignment horizontal="center"/>
    </xf>
    <xf numFmtId="0" fontId="21" fillId="2" borderId="15" xfId="1" applyFont="1" applyFill="1" applyBorder="1" applyAlignment="1">
      <alignment horizontal="right"/>
    </xf>
    <xf numFmtId="2" fontId="21" fillId="6" borderId="15" xfId="1" applyNumberFormat="1" applyFont="1" applyFill="1" applyBorder="1" applyAlignment="1">
      <alignment horizontal="center"/>
    </xf>
    <xf numFmtId="171" fontId="24" fillId="7" borderId="13" xfId="1" applyNumberFormat="1" applyFont="1" applyFill="1" applyBorder="1" applyAlignment="1">
      <alignment horizontal="center"/>
    </xf>
    <xf numFmtId="171" fontId="21" fillId="2" borderId="0" xfId="1" applyNumberFormat="1" applyFont="1" applyFill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2" borderId="43" xfId="1" applyFont="1" applyFill="1" applyBorder="1" applyAlignment="1">
      <alignment horizontal="right"/>
    </xf>
    <xf numFmtId="0" fontId="21" fillId="7" borderId="15" xfId="1" applyFont="1" applyFill="1" applyBorder="1" applyAlignment="1">
      <alignment horizontal="center"/>
    </xf>
    <xf numFmtId="0" fontId="14" fillId="2" borderId="0" xfId="1" applyFont="1" applyFill="1"/>
    <xf numFmtId="0" fontId="24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172" fontId="25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 applyProtection="1">
      <alignment horizontal="center"/>
      <protection locked="0"/>
    </xf>
    <xf numFmtId="2" fontId="24" fillId="2" borderId="13" xfId="1" applyNumberFormat="1" applyFont="1" applyFill="1" applyBorder="1" applyAlignment="1">
      <alignment horizontal="center"/>
    </xf>
    <xf numFmtId="0" fontId="24" fillId="2" borderId="13" xfId="1" applyFont="1" applyFill="1" applyBorder="1" applyAlignment="1">
      <alignment horizontal="center"/>
    </xf>
    <xf numFmtId="0" fontId="21" fillId="2" borderId="13" xfId="1" applyFont="1" applyFill="1" applyBorder="1" applyAlignment="1">
      <alignment horizontal="center"/>
    </xf>
    <xf numFmtId="0" fontId="25" fillId="3" borderId="21" xfId="1" applyFont="1" applyFill="1" applyBorder="1" applyAlignment="1" applyProtection="1">
      <alignment horizontal="center"/>
      <protection locked="0"/>
    </xf>
    <xf numFmtId="166" fontId="21" fillId="2" borderId="21" xfId="1" applyNumberFormat="1" applyFont="1" applyFill="1" applyBorder="1" applyAlignment="1">
      <alignment horizontal="center"/>
    </xf>
    <xf numFmtId="10" fontId="21" fillId="2" borderId="13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/>
    </xf>
    <xf numFmtId="166" fontId="21" fillId="2" borderId="23" xfId="1" applyNumberFormat="1" applyFont="1" applyFill="1" applyBorder="1" applyAlignment="1">
      <alignment horizontal="center"/>
    </xf>
    <xf numFmtId="10" fontId="21" fillId="2" borderId="14" xfId="1" applyNumberFormat="1" applyFont="1" applyFill="1" applyBorder="1" applyAlignment="1">
      <alignment horizontal="center" vertical="center"/>
    </xf>
    <xf numFmtId="1" fontId="25" fillId="3" borderId="23" xfId="1" applyNumberFormat="1" applyFont="1" applyFill="1" applyBorder="1" applyAlignment="1" applyProtection="1">
      <alignment horizontal="center"/>
      <protection locked="0"/>
    </xf>
    <xf numFmtId="0" fontId="21" fillId="2" borderId="15" xfId="1" applyFont="1" applyFill="1" applyBorder="1" applyAlignment="1">
      <alignment horizontal="center"/>
    </xf>
    <xf numFmtId="0" fontId="25" fillId="3" borderId="43" xfId="1" applyFont="1" applyFill="1" applyBorder="1" applyAlignment="1" applyProtection="1">
      <alignment horizontal="center"/>
      <protection locked="0"/>
    </xf>
    <xf numFmtId="166" fontId="21" fillId="2" borderId="13" xfId="1" applyNumberFormat="1" applyFont="1" applyFill="1" applyBorder="1" applyAlignment="1">
      <alignment horizontal="center"/>
    </xf>
    <xf numFmtId="10" fontId="21" fillId="2" borderId="22" xfId="1" applyNumberFormat="1" applyFont="1" applyFill="1" applyBorder="1" applyAlignment="1">
      <alignment horizontal="center" vertical="center"/>
    </xf>
    <xf numFmtId="166" fontId="21" fillId="2" borderId="14" xfId="1" applyNumberFormat="1" applyFont="1" applyFill="1" applyBorder="1" applyAlignment="1">
      <alignment horizontal="center"/>
    </xf>
    <xf numFmtId="10" fontId="21" fillId="2" borderId="24" xfId="1" applyNumberFormat="1" applyFont="1" applyFill="1" applyBorder="1" applyAlignment="1">
      <alignment horizontal="center" vertical="center"/>
    </xf>
    <xf numFmtId="166" fontId="21" fillId="2" borderId="15" xfId="1" applyNumberFormat="1" applyFont="1" applyFill="1" applyBorder="1" applyAlignment="1">
      <alignment horizontal="center"/>
    </xf>
    <xf numFmtId="10" fontId="21" fillId="2" borderId="44" xfId="1" applyNumberFormat="1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10" fontId="21" fillId="2" borderId="15" xfId="1" applyNumberFormat="1" applyFont="1" applyFill="1" applyBorder="1" applyAlignment="1">
      <alignment horizontal="center" vertical="center"/>
    </xf>
    <xf numFmtId="0" fontId="21" fillId="2" borderId="45" xfId="1" applyFont="1" applyFill="1" applyBorder="1" applyAlignment="1">
      <alignment horizontal="right"/>
    </xf>
    <xf numFmtId="2" fontId="25" fillId="7" borderId="33" xfId="1" applyNumberFormat="1" applyFont="1" applyFill="1" applyBorder="1" applyAlignment="1">
      <alignment horizontal="center"/>
    </xf>
    <xf numFmtId="10" fontId="25" fillId="7" borderId="33" xfId="1" applyNumberFormat="1" applyFont="1" applyFill="1" applyBorder="1" applyAlignment="1">
      <alignment horizontal="center"/>
    </xf>
    <xf numFmtId="0" fontId="21" fillId="2" borderId="41" xfId="1" applyFont="1" applyFill="1" applyBorder="1" applyAlignment="1">
      <alignment horizontal="right"/>
    </xf>
    <xf numFmtId="10" fontId="25" fillId="6" borderId="57" xfId="1" applyNumberFormat="1" applyFont="1" applyFill="1" applyBorder="1" applyAlignment="1">
      <alignment horizontal="center"/>
    </xf>
    <xf numFmtId="0" fontId="21" fillId="2" borderId="17" xfId="1" applyFont="1" applyFill="1" applyBorder="1" applyAlignment="1">
      <alignment horizontal="right"/>
    </xf>
    <xf numFmtId="0" fontId="25" fillId="7" borderId="46" xfId="1" applyFont="1" applyFill="1" applyBorder="1" applyAlignment="1">
      <alignment horizontal="center"/>
    </xf>
    <xf numFmtId="165" fontId="25" fillId="2" borderId="0" xfId="1" applyNumberFormat="1" applyFont="1" applyFill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30" xfId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1" fontId="24" fillId="6" borderId="49" xfId="1" applyNumberFormat="1" applyFont="1" applyFill="1" applyBorder="1" applyAlignment="1">
      <alignment horizontal="center"/>
    </xf>
    <xf numFmtId="1" fontId="24" fillId="6" borderId="50" xfId="1" applyNumberFormat="1" applyFont="1" applyFill="1" applyBorder="1" applyAlignment="1">
      <alignment horizontal="center"/>
    </xf>
    <xf numFmtId="171" fontId="24" fillId="6" borderId="15" xfId="1" applyNumberFormat="1" applyFont="1" applyFill="1" applyBorder="1" applyAlignment="1">
      <alignment horizontal="center"/>
    </xf>
    <xf numFmtId="0" fontId="21" fillId="2" borderId="51" xfId="1" applyFont="1" applyFill="1" applyBorder="1" applyAlignment="1">
      <alignment horizontal="right"/>
    </xf>
    <xf numFmtId="0" fontId="25" fillId="3" borderId="52" xfId="1" applyFont="1" applyFill="1" applyBorder="1" applyAlignment="1" applyProtection="1">
      <alignment horizontal="center"/>
      <protection locked="0"/>
    </xf>
    <xf numFmtId="0" fontId="21" fillId="2" borderId="25" xfId="1" applyFont="1" applyFill="1" applyBorder="1" applyAlignment="1">
      <alignment horizontal="right"/>
    </xf>
    <xf numFmtId="2" fontId="21" fillId="6" borderId="27" xfId="1" applyNumberFormat="1" applyFont="1" applyFill="1" applyBorder="1" applyAlignment="1">
      <alignment horizontal="center"/>
    </xf>
    <xf numFmtId="2" fontId="21" fillId="7" borderId="27" xfId="1" applyNumberFormat="1" applyFont="1" applyFill="1" applyBorder="1" applyAlignment="1">
      <alignment horizontal="center"/>
    </xf>
    <xf numFmtId="166" fontId="21" fillId="6" borderId="27" xfId="1" applyNumberFormat="1" applyFont="1" applyFill="1" applyBorder="1" applyAlignment="1">
      <alignment horizontal="center"/>
    </xf>
    <xf numFmtId="166" fontId="21" fillId="7" borderId="2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21" fillId="2" borderId="53" xfId="1" applyFont="1" applyFill="1" applyBorder="1" applyAlignment="1">
      <alignment horizontal="right"/>
    </xf>
    <xf numFmtId="2" fontId="21" fillId="7" borderId="30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 wrapText="1"/>
    </xf>
    <xf numFmtId="0" fontId="21" fillId="2" borderId="16" xfId="1" applyFont="1" applyFill="1" applyBorder="1" applyAlignment="1">
      <alignment horizontal="right"/>
    </xf>
    <xf numFmtId="171" fontId="24" fillId="7" borderId="16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4" fillId="6" borderId="41" xfId="1" applyNumberFormat="1" applyFont="1" applyFill="1" applyBorder="1" applyAlignment="1">
      <alignment horizontal="center"/>
    </xf>
    <xf numFmtId="0" fontId="24" fillId="7" borderId="17" xfId="1" applyFont="1" applyFill="1" applyBorder="1" applyAlignment="1">
      <alignment horizontal="center"/>
    </xf>
    <xf numFmtId="0" fontId="24" fillId="2" borderId="54" xfId="1" applyFont="1" applyFill="1" applyBorder="1" applyAlignment="1">
      <alignment horizontal="center"/>
    </xf>
    <xf numFmtId="0" fontId="24" fillId="2" borderId="55" xfId="1" applyFont="1" applyFill="1" applyBorder="1" applyAlignment="1">
      <alignment horizontal="center"/>
    </xf>
    <xf numFmtId="0" fontId="24" fillId="2" borderId="22" xfId="1" applyFont="1" applyFill="1" applyBorder="1" applyAlignment="1">
      <alignment horizontal="center" wrapText="1"/>
    </xf>
    <xf numFmtId="0" fontId="21" fillId="2" borderId="23" xfId="1" applyFont="1" applyFill="1" applyBorder="1" applyAlignment="1">
      <alignment horizontal="center"/>
    </xf>
    <xf numFmtId="1" fontId="25" fillId="3" borderId="31" xfId="1" applyNumberFormat="1" applyFont="1" applyFill="1" applyBorder="1" applyAlignment="1" applyProtection="1">
      <alignment horizontal="center"/>
      <protection locked="0"/>
    </xf>
    <xf numFmtId="166" fontId="21" fillId="2" borderId="26" xfId="1" applyNumberFormat="1" applyFont="1" applyFill="1" applyBorder="1" applyAlignment="1">
      <alignment horizontal="center"/>
    </xf>
    <xf numFmtId="10" fontId="21" fillId="2" borderId="30" xfId="1" applyNumberFormat="1" applyFont="1" applyFill="1" applyBorder="1" applyAlignment="1">
      <alignment horizontal="center"/>
    </xf>
    <xf numFmtId="166" fontId="21" fillId="2" borderId="31" xfId="1" applyNumberFormat="1" applyFont="1" applyFill="1" applyBorder="1" applyAlignment="1">
      <alignment horizontal="center"/>
    </xf>
    <xf numFmtId="10" fontId="21" fillId="2" borderId="32" xfId="1" applyNumberFormat="1" applyFont="1" applyFill="1" applyBorder="1" applyAlignment="1">
      <alignment horizontal="center"/>
    </xf>
    <xf numFmtId="0" fontId="21" fillId="2" borderId="34" xfId="1" applyFont="1" applyFill="1" applyBorder="1" applyAlignment="1">
      <alignment horizontal="center"/>
    </xf>
    <xf numFmtId="1" fontId="25" fillId="3" borderId="35" xfId="1" applyNumberFormat="1" applyFont="1" applyFill="1" applyBorder="1" applyAlignment="1" applyProtection="1">
      <alignment horizontal="center"/>
      <protection locked="0"/>
    </xf>
    <xf numFmtId="166" fontId="21" fillId="2" borderId="35" xfId="1" applyNumberFormat="1" applyFont="1" applyFill="1" applyBorder="1" applyAlignment="1">
      <alignment horizontal="center"/>
    </xf>
    <xf numFmtId="10" fontId="21" fillId="2" borderId="36" xfId="1" applyNumberFormat="1" applyFont="1" applyFill="1" applyBorder="1" applyAlignment="1">
      <alignment horizontal="center"/>
    </xf>
    <xf numFmtId="2" fontId="21" fillId="2" borderId="24" xfId="1" applyNumberFormat="1" applyFont="1" applyFill="1" applyBorder="1" applyAlignment="1">
      <alignment horizontal="center"/>
    </xf>
    <xf numFmtId="171" fontId="21" fillId="2" borderId="2" xfId="1" applyNumberFormat="1" applyFont="1" applyFill="1" applyBorder="1" applyAlignment="1">
      <alignment horizontal="right"/>
    </xf>
    <xf numFmtId="2" fontId="25" fillId="7" borderId="27" xfId="1" applyNumberFormat="1" applyFont="1" applyFill="1" applyBorder="1" applyAlignment="1">
      <alignment horizontal="center"/>
    </xf>
    <xf numFmtId="10" fontId="25" fillId="7" borderId="27" xfId="1" applyNumberFormat="1" applyFont="1" applyFill="1" applyBorder="1" applyAlignment="1">
      <alignment horizontal="center"/>
    </xf>
    <xf numFmtId="0" fontId="21" fillId="2" borderId="23" xfId="1" applyFont="1" applyFill="1" applyBorder="1"/>
    <xf numFmtId="10" fontId="25" fillId="6" borderId="27" xfId="1" applyNumberFormat="1" applyFont="1" applyFill="1" applyBorder="1" applyAlignment="1">
      <alignment horizontal="center"/>
    </xf>
    <xf numFmtId="0" fontId="21" fillId="2" borderId="43" xfId="1" applyFont="1" applyFill="1" applyBorder="1"/>
    <xf numFmtId="0" fontId="21" fillId="2" borderId="56" xfId="1" applyFont="1" applyFill="1" applyBorder="1" applyAlignment="1">
      <alignment horizontal="right"/>
    </xf>
    <xf numFmtId="0" fontId="25" fillId="7" borderId="17" xfId="1" applyFont="1" applyFill="1" applyBorder="1" applyAlignment="1">
      <alignment horizontal="center"/>
    </xf>
    <xf numFmtId="0" fontId="22" fillId="2" borderId="0" xfId="1" applyFont="1" applyFill="1" applyAlignment="1">
      <alignment horizontal="righ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1" fillId="2" borderId="9" xfId="1" applyFont="1" applyFill="1" applyBorder="1"/>
    <xf numFmtId="0" fontId="21" fillId="2" borderId="10" xfId="1" applyFont="1" applyFill="1" applyBorder="1" applyAlignment="1">
      <alignment horizontal="center"/>
    </xf>
    <xf numFmtId="0" fontId="21" fillId="2" borderId="7" xfId="1" applyFont="1" applyFill="1" applyBorder="1"/>
    <xf numFmtId="0" fontId="24" fillId="2" borderId="11" xfId="1" applyFont="1" applyFill="1" applyBorder="1"/>
    <xf numFmtId="0" fontId="21" fillId="2" borderId="11" xfId="1" applyFont="1" applyFill="1" applyBorder="1"/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4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22" fillId="2" borderId="18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left" vertical="center" wrapText="1"/>
    </xf>
    <xf numFmtId="0" fontId="22" fillId="2" borderId="2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2" fillId="2" borderId="18" xfId="1" applyFont="1" applyFill="1" applyBorder="1" applyAlignment="1">
      <alignment horizontal="center"/>
    </xf>
    <xf numFmtId="0" fontId="22" fillId="2" borderId="19" xfId="1" applyFont="1" applyFill="1" applyBorder="1" applyAlignment="1">
      <alignment horizontal="center"/>
    </xf>
    <xf numFmtId="0" fontId="22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/>
      <protection locked="0"/>
    </xf>
    <xf numFmtId="0" fontId="22" fillId="2" borderId="18" xfId="1" applyFont="1" applyFill="1" applyBorder="1" applyAlignment="1">
      <alignment horizontal="justify" vertical="center" wrapText="1"/>
    </xf>
    <xf numFmtId="0" fontId="22" fillId="2" borderId="19" xfId="1" applyFont="1" applyFill="1" applyBorder="1" applyAlignment="1">
      <alignment horizontal="justify" vertical="center" wrapText="1"/>
    </xf>
    <xf numFmtId="0" fontId="22" fillId="2" borderId="20" xfId="1" applyFont="1" applyFill="1" applyBorder="1" applyAlignment="1">
      <alignment horizontal="justify" vertical="center" wrapText="1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58" xfId="1" applyFont="1" applyFill="1" applyBorder="1" applyAlignment="1">
      <alignment horizontal="center"/>
    </xf>
    <xf numFmtId="10" fontId="27" fillId="2" borderId="14" xfId="1" applyNumberFormat="1" applyFont="1" applyFill="1" applyBorder="1" applyAlignment="1">
      <alignment horizontal="center" vertical="center"/>
    </xf>
    <xf numFmtId="0" fontId="22" fillId="2" borderId="21" xfId="1" applyFont="1" applyFill="1" applyBorder="1" applyAlignment="1">
      <alignment horizontal="left" vertical="center" wrapText="1"/>
    </xf>
    <xf numFmtId="0" fontId="22" fillId="2" borderId="22" xfId="1" applyFont="1" applyFill="1" applyBorder="1" applyAlignment="1">
      <alignment horizontal="left" vertical="center" wrapText="1"/>
    </xf>
    <xf numFmtId="0" fontId="22" fillId="2" borderId="43" xfId="1" applyFont="1" applyFill="1" applyBorder="1" applyAlignment="1">
      <alignment horizontal="left" vertical="center" wrapText="1"/>
    </xf>
    <xf numFmtId="0" fontId="22" fillId="2" borderId="44" xfId="1" applyFont="1" applyFill="1" applyBorder="1" applyAlignment="1">
      <alignment horizontal="left" vertical="center" wrapText="1"/>
    </xf>
    <xf numFmtId="0" fontId="24" fillId="2" borderId="1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4" fillId="2" borderId="9" xfId="1" applyFont="1" applyFill="1" applyBorder="1" applyAlignment="1">
      <alignment horizontal="center" vertical="center"/>
    </xf>
    <xf numFmtId="2" fontId="25" fillId="3" borderId="13" xfId="1" applyNumberFormat="1" applyFont="1" applyFill="1" applyBorder="1" applyAlignment="1" applyProtection="1">
      <alignment horizontal="center" vertical="center"/>
      <protection locked="0"/>
    </xf>
    <xf numFmtId="2" fontId="25" fillId="3" borderId="14" xfId="1" applyNumberFormat="1" applyFont="1" applyFill="1" applyBorder="1" applyAlignment="1" applyProtection="1">
      <alignment horizontal="center" vertical="center"/>
      <protection locked="0"/>
    </xf>
    <xf numFmtId="2" fontId="25" fillId="3" borderId="15" xfId="1" applyNumberFormat="1" applyFont="1" applyFill="1" applyBorder="1" applyAlignment="1" applyProtection="1">
      <alignment horizontal="center" vertical="center"/>
      <protection locked="0"/>
    </xf>
    <xf numFmtId="0" fontId="24" fillId="2" borderId="43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/>
      <protection locked="0"/>
    </xf>
    <xf numFmtId="0" fontId="22" fillId="2" borderId="21" xfId="1" applyFont="1" applyFill="1" applyBorder="1" applyAlignment="1">
      <alignment horizontal="center" vertical="center" wrapText="1"/>
    </xf>
    <xf numFmtId="0" fontId="22" fillId="2" borderId="22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4" fillId="2" borderId="0" xfId="1" applyFont="1" applyFill="1" applyAlignment="1">
      <alignment horizontal="center"/>
    </xf>
    <xf numFmtId="0" fontId="22" fillId="2" borderId="10" xfId="1" applyFont="1" applyFill="1" applyBorder="1" applyAlignment="1">
      <alignment horizontal="lef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4" fillId="2" borderId="10" xfId="1" applyFont="1" applyFill="1" applyBorder="1" applyAlignment="1">
      <alignment horizontal="center"/>
    </xf>
    <xf numFmtId="0" fontId="9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8" t="s">
        <v>26</v>
      </c>
      <c r="B11" s="259"/>
      <c r="C11" s="259"/>
      <c r="D11" s="259"/>
      <c r="E11" s="259"/>
      <c r="F11" s="260"/>
      <c r="G11" s="41"/>
    </row>
    <row r="12" spans="1:7" ht="16.5" customHeight="1" x14ac:dyDescent="0.3">
      <c r="A12" s="257" t="s">
        <v>27</v>
      </c>
      <c r="B12" s="257"/>
      <c r="C12" s="257"/>
      <c r="D12" s="257"/>
      <c r="E12" s="257"/>
      <c r="F12" s="257"/>
      <c r="G12" s="40"/>
    </row>
    <row r="14" spans="1:7" ht="16.5" customHeight="1" x14ac:dyDescent="0.3">
      <c r="A14" s="262" t="s">
        <v>28</v>
      </c>
      <c r="B14" s="262"/>
      <c r="C14" s="10" t="s">
        <v>4</v>
      </c>
    </row>
    <row r="15" spans="1:7" ht="16.5" customHeight="1" x14ac:dyDescent="0.3">
      <c r="A15" s="262" t="s">
        <v>29</v>
      </c>
      <c r="B15" s="262"/>
      <c r="C15" s="10" t="s">
        <v>6</v>
      </c>
    </row>
    <row r="16" spans="1:7" ht="16.5" customHeight="1" x14ac:dyDescent="0.3">
      <c r="A16" s="262" t="s">
        <v>30</v>
      </c>
      <c r="B16" s="262"/>
      <c r="C16" s="10" t="s">
        <v>8</v>
      </c>
    </row>
    <row r="17" spans="1:5" ht="16.5" customHeight="1" x14ac:dyDescent="0.3">
      <c r="A17" s="262" t="s">
        <v>31</v>
      </c>
      <c r="B17" s="262"/>
      <c r="C17" s="10" t="s">
        <v>10</v>
      </c>
    </row>
    <row r="18" spans="1:5" ht="16.5" customHeight="1" x14ac:dyDescent="0.3">
      <c r="A18" s="262" t="s">
        <v>32</v>
      </c>
      <c r="B18" s="262"/>
      <c r="C18" s="47" t="s">
        <v>11</v>
      </c>
    </row>
    <row r="19" spans="1:5" ht="16.5" customHeight="1" x14ac:dyDescent="0.3">
      <c r="A19" s="262" t="s">
        <v>33</v>
      </c>
      <c r="B19" s="26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7" t="s">
        <v>1</v>
      </c>
      <c r="B21" s="257"/>
      <c r="C21" s="9" t="s">
        <v>34</v>
      </c>
      <c r="D21" s="16"/>
    </row>
    <row r="22" spans="1:5" ht="15.75" customHeight="1" x14ac:dyDescent="0.3">
      <c r="A22" s="261"/>
      <c r="B22" s="261"/>
      <c r="C22" s="7"/>
      <c r="D22" s="261"/>
      <c r="E22" s="261"/>
    </row>
    <row r="23" spans="1:5" ht="33.75" customHeight="1" x14ac:dyDescent="0.3">
      <c r="C23" s="36" t="s">
        <v>35</v>
      </c>
      <c r="D23" s="35" t="s">
        <v>36</v>
      </c>
      <c r="E23" s="2"/>
    </row>
    <row r="24" spans="1:5" ht="15.75" customHeight="1" x14ac:dyDescent="0.3">
      <c r="C24" s="45">
        <v>1041.8399999999999</v>
      </c>
      <c r="D24" s="37">
        <f t="shared" ref="D24:D43" si="0">(C24-$C$46)/$C$46</f>
        <v>2.2857934473918757E-3</v>
      </c>
      <c r="E24" s="3"/>
    </row>
    <row r="25" spans="1:5" ht="15.75" customHeight="1" x14ac:dyDescent="0.3">
      <c r="C25" s="45">
        <v>1046.98</v>
      </c>
      <c r="D25" s="38">
        <f t="shared" si="0"/>
        <v>7.2306496425079154E-3</v>
      </c>
      <c r="E25" s="3"/>
    </row>
    <row r="26" spans="1:5" ht="15.75" customHeight="1" x14ac:dyDescent="0.3">
      <c r="C26" s="45">
        <v>1040.1400000000001</v>
      </c>
      <c r="D26" s="38">
        <f t="shared" si="0"/>
        <v>6.503351727428086E-4</v>
      </c>
      <c r="E26" s="3"/>
    </row>
    <row r="27" spans="1:5" ht="15.75" customHeight="1" x14ac:dyDescent="0.3">
      <c r="C27" s="45">
        <v>1036.05</v>
      </c>
      <c r="D27" s="38">
        <f t="shared" si="0"/>
        <v>-3.2843850292075668E-3</v>
      </c>
      <c r="E27" s="3"/>
    </row>
    <row r="28" spans="1:5" ht="15.75" customHeight="1" x14ac:dyDescent="0.3">
      <c r="C28" s="45">
        <v>1036.82</v>
      </c>
      <c r="D28" s="38">
        <f t="shared" si="0"/>
        <v>-2.543618634219398E-3</v>
      </c>
      <c r="E28" s="3"/>
    </row>
    <row r="29" spans="1:5" ht="15.75" customHeight="1" x14ac:dyDescent="0.3">
      <c r="C29" s="45">
        <v>1039.24</v>
      </c>
      <c r="D29" s="38">
        <f t="shared" si="0"/>
        <v>-2.1549567854217176E-4</v>
      </c>
      <c r="E29" s="3"/>
    </row>
    <row r="30" spans="1:5" ht="15.75" customHeight="1" x14ac:dyDescent="0.3">
      <c r="C30" s="45">
        <v>1043.1500000000001</v>
      </c>
      <c r="D30" s="38">
        <f t="shared" si="0"/>
        <v>3.5460583531511636E-3</v>
      </c>
      <c r="E30" s="3"/>
    </row>
    <row r="31" spans="1:5" ht="15.75" customHeight="1" x14ac:dyDescent="0.3">
      <c r="C31" s="45">
        <v>1041.23</v>
      </c>
      <c r="D31" s="38">
        <f t="shared" si="0"/>
        <v>1.6989525370766556E-3</v>
      </c>
      <c r="E31" s="3"/>
    </row>
    <row r="32" spans="1:5" ht="15.75" customHeight="1" x14ac:dyDescent="0.3">
      <c r="C32" s="45">
        <v>1040.5999999999999</v>
      </c>
      <c r="D32" s="38">
        <f t="shared" si="0"/>
        <v>1.0928709411771255E-3</v>
      </c>
      <c r="E32" s="3"/>
    </row>
    <row r="33" spans="1:7" ht="15.75" customHeight="1" x14ac:dyDescent="0.3">
      <c r="C33" s="45">
        <v>1057.07</v>
      </c>
      <c r="D33" s="38">
        <f t="shared" si="0"/>
        <v>1.693757551969069E-2</v>
      </c>
      <c r="E33" s="3"/>
    </row>
    <row r="34" spans="1:7" ht="15.75" customHeight="1" x14ac:dyDescent="0.3">
      <c r="C34" s="45">
        <v>1023.19</v>
      </c>
      <c r="D34" s="38">
        <f t="shared" si="0"/>
        <v>-1.5656145859789385E-2</v>
      </c>
      <c r="E34" s="3"/>
    </row>
    <row r="35" spans="1:7" ht="15.75" customHeight="1" x14ac:dyDescent="0.3">
      <c r="C35" s="45">
        <v>1055.68</v>
      </c>
      <c r="D35" s="38">
        <f t="shared" si="0"/>
        <v>1.5600347871595257E-2</v>
      </c>
      <c r="E35" s="3"/>
    </row>
    <row r="36" spans="1:7" ht="15.75" customHeight="1" x14ac:dyDescent="0.3">
      <c r="C36" s="45">
        <v>1033.5899999999999</v>
      </c>
      <c r="D36" s="38">
        <f t="shared" si="0"/>
        <v>-5.6509893560529757E-3</v>
      </c>
      <c r="E36" s="3"/>
    </row>
    <row r="37" spans="1:7" ht="15.75" customHeight="1" x14ac:dyDescent="0.3">
      <c r="C37" s="45">
        <v>1032.01</v>
      </c>
      <c r="D37" s="38">
        <f t="shared" si="0"/>
        <v>-7.1710035171974953E-3</v>
      </c>
      <c r="E37" s="3"/>
    </row>
    <row r="38" spans="1:7" ht="15.75" customHeight="1" x14ac:dyDescent="0.3">
      <c r="C38" s="45">
        <v>1031.33</v>
      </c>
      <c r="D38" s="38">
        <f t="shared" si="0"/>
        <v>-7.8251868270572539E-3</v>
      </c>
      <c r="E38" s="3"/>
    </row>
    <row r="39" spans="1:7" ht="15.75" customHeight="1" x14ac:dyDescent="0.3">
      <c r="C39" s="45">
        <v>1037.21</v>
      </c>
      <c r="D39" s="38">
        <f t="shared" si="0"/>
        <v>-2.1684252653291817E-3</v>
      </c>
      <c r="E39" s="3"/>
    </row>
    <row r="40" spans="1:7" ht="15.75" customHeight="1" x14ac:dyDescent="0.3">
      <c r="C40" s="45">
        <v>1047.96</v>
      </c>
      <c r="D40" s="38">
        <f t="shared" si="0"/>
        <v>8.173443236129261E-3</v>
      </c>
      <c r="E40" s="3"/>
    </row>
    <row r="41" spans="1:7" ht="15.75" customHeight="1" x14ac:dyDescent="0.3">
      <c r="C41" s="45">
        <v>1023.86</v>
      </c>
      <c r="D41" s="38">
        <f t="shared" si="0"/>
        <v>-1.5011582892721781E-2</v>
      </c>
      <c r="E41" s="3"/>
    </row>
    <row r="42" spans="1:7" ht="15.75" customHeight="1" x14ac:dyDescent="0.3">
      <c r="C42" s="45">
        <v>1033.99</v>
      </c>
      <c r="D42" s="38">
        <f t="shared" si="0"/>
        <v>-5.2661756443707136E-3</v>
      </c>
      <c r="E42" s="3"/>
    </row>
    <row r="43" spans="1:7" ht="16.5" customHeight="1" x14ac:dyDescent="0.3">
      <c r="C43" s="46">
        <v>1047.3399999999999</v>
      </c>
      <c r="D43" s="39">
        <f t="shared" si="0"/>
        <v>7.576981983021776E-3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37</v>
      </c>
      <c r="C45" s="33">
        <f>SUM(C24:C44)</f>
        <v>20789.280000000002</v>
      </c>
      <c r="D45" s="28"/>
      <c r="E45" s="4"/>
    </row>
    <row r="46" spans="1:7" ht="17.25" customHeight="1" x14ac:dyDescent="0.3">
      <c r="B46" s="32" t="s">
        <v>38</v>
      </c>
      <c r="C46" s="34">
        <f>AVERAGE(C24:C44)</f>
        <v>1039.4640000000002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38</v>
      </c>
      <c r="C48" s="35" t="s">
        <v>39</v>
      </c>
      <c r="D48" s="30"/>
      <c r="G48" s="8"/>
    </row>
    <row r="49" spans="1:6" ht="17.25" customHeight="1" x14ac:dyDescent="0.3">
      <c r="B49" s="255">
        <f>C46</f>
        <v>1039.4640000000002</v>
      </c>
      <c r="C49" s="43">
        <f>-IF(C46&lt;=80,10%,IF(C46&lt;250,7.5%,5%))</f>
        <v>-0.05</v>
      </c>
      <c r="D49" s="31">
        <f>IF(C46&lt;=80,C46*0.9,IF(C46&lt;250,C46*0.925,C46*0.95))</f>
        <v>987.49080000000015</v>
      </c>
    </row>
    <row r="50" spans="1:6" ht="17.25" customHeight="1" x14ac:dyDescent="0.3">
      <c r="B50" s="256"/>
      <c r="C50" s="44">
        <f>IF(C46&lt;=80, 10%, IF(C46&lt;250, 7.5%, 5%))</f>
        <v>0.05</v>
      </c>
      <c r="D50" s="31">
        <f>IF(C46&lt;=80, C46*1.1, IF(C46&lt;250, C46*1.075, C46*1.05))</f>
        <v>1091.4372000000003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8" workbookViewId="0">
      <selection activeCell="B7" sqref="B7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" spans="1:10" ht="15" customHeight="1" x14ac:dyDescent="0.3">
      <c r="A1" s="48"/>
      <c r="C1" s="50"/>
      <c r="F1" s="50"/>
    </row>
    <row r="2" spans="1:10" ht="18.75" customHeight="1" x14ac:dyDescent="0.3">
      <c r="A2" s="263" t="s">
        <v>0</v>
      </c>
      <c r="B2" s="263"/>
      <c r="C2" s="263"/>
      <c r="D2" s="263"/>
      <c r="E2" s="263"/>
    </row>
    <row r="3" spans="1:10" ht="16.5" customHeight="1" x14ac:dyDescent="0.3">
      <c r="A3" s="52" t="s">
        <v>1</v>
      </c>
      <c r="B3" s="53" t="s">
        <v>103</v>
      </c>
    </row>
    <row r="4" spans="1:10" ht="16.5" customHeight="1" x14ac:dyDescent="0.3">
      <c r="A4" s="54" t="s">
        <v>2</v>
      </c>
      <c r="B4" s="54" t="s">
        <v>112</v>
      </c>
      <c r="D4" s="55"/>
      <c r="E4" s="56"/>
    </row>
    <row r="5" spans="1:10" ht="16.5" customHeight="1" x14ac:dyDescent="0.3">
      <c r="A5" s="57" t="s">
        <v>3</v>
      </c>
      <c r="B5" s="54" t="s">
        <v>104</v>
      </c>
      <c r="C5" s="56"/>
      <c r="D5" s="56"/>
      <c r="E5" s="56"/>
    </row>
    <row r="6" spans="1:10" ht="16.5" customHeight="1" x14ac:dyDescent="0.3">
      <c r="A6" s="57" t="s">
        <v>5</v>
      </c>
      <c r="B6" s="58">
        <v>99.8</v>
      </c>
      <c r="C6" s="56"/>
      <c r="D6" s="56"/>
      <c r="E6" s="56"/>
    </row>
    <row r="7" spans="1:10" ht="16.5" customHeight="1" x14ac:dyDescent="0.3">
      <c r="A7" s="54" t="s">
        <v>7</v>
      </c>
      <c r="B7" s="58">
        <v>23.06</v>
      </c>
      <c r="C7" s="56"/>
      <c r="D7" s="56"/>
      <c r="E7" s="56"/>
    </row>
    <row r="8" spans="1:10" ht="16.5" customHeight="1" x14ac:dyDescent="0.3">
      <c r="A8" s="54" t="s">
        <v>9</v>
      </c>
      <c r="B8" s="59">
        <f>B7/50*10/20</f>
        <v>0.2306</v>
      </c>
      <c r="C8" s="56"/>
      <c r="D8" s="56"/>
      <c r="E8" s="56"/>
    </row>
    <row r="9" spans="1:10" ht="15.75" customHeight="1" x14ac:dyDescent="0.25">
      <c r="A9" s="56"/>
      <c r="B9" s="56"/>
      <c r="C9" s="56"/>
      <c r="D9" s="56"/>
      <c r="E9" s="56"/>
    </row>
    <row r="10" spans="1:10" ht="16.5" customHeight="1" x14ac:dyDescent="0.3">
      <c r="A10" s="60" t="s">
        <v>12</v>
      </c>
      <c r="B10" s="61" t="s">
        <v>13</v>
      </c>
      <c r="C10" s="60" t="s">
        <v>14</v>
      </c>
      <c r="D10" s="60" t="s">
        <v>15</v>
      </c>
      <c r="E10" s="60" t="s">
        <v>16</v>
      </c>
      <c r="F10" s="62" t="s">
        <v>105</v>
      </c>
      <c r="J10" s="49"/>
    </row>
    <row r="11" spans="1:10" ht="16.5" customHeight="1" x14ac:dyDescent="0.3">
      <c r="A11" s="63">
        <v>1</v>
      </c>
      <c r="B11" s="64">
        <v>194291563</v>
      </c>
      <c r="C11" s="64">
        <v>7351.95</v>
      </c>
      <c r="D11" s="65">
        <v>0.99</v>
      </c>
      <c r="E11" s="66">
        <v>9.85</v>
      </c>
      <c r="F11" s="66">
        <v>13.71</v>
      </c>
      <c r="J11" s="49"/>
    </row>
    <row r="12" spans="1:10" ht="16.5" customHeight="1" x14ac:dyDescent="0.3">
      <c r="A12" s="63">
        <v>2</v>
      </c>
      <c r="B12" s="64">
        <v>193963921</v>
      </c>
      <c r="C12" s="64">
        <v>7348.07</v>
      </c>
      <c r="D12" s="65">
        <v>0.99</v>
      </c>
      <c r="E12" s="65">
        <v>9.84</v>
      </c>
      <c r="F12" s="65">
        <v>13.7</v>
      </c>
      <c r="J12" s="49"/>
    </row>
    <row r="13" spans="1:10" ht="16.5" customHeight="1" x14ac:dyDescent="0.3">
      <c r="A13" s="63">
        <v>3</v>
      </c>
      <c r="B13" s="64">
        <v>194604538</v>
      </c>
      <c r="C13" s="64">
        <v>7346.1</v>
      </c>
      <c r="D13" s="65">
        <v>0.98</v>
      </c>
      <c r="E13" s="65">
        <v>9.83</v>
      </c>
      <c r="F13" s="65">
        <v>13.69</v>
      </c>
      <c r="J13" s="49"/>
    </row>
    <row r="14" spans="1:10" ht="16.5" customHeight="1" x14ac:dyDescent="0.3">
      <c r="A14" s="63">
        <v>4</v>
      </c>
      <c r="B14" s="64">
        <v>194461276</v>
      </c>
      <c r="C14" s="64">
        <v>7347.53</v>
      </c>
      <c r="D14" s="65">
        <v>0.99</v>
      </c>
      <c r="E14" s="65">
        <v>9.83</v>
      </c>
      <c r="F14" s="65">
        <v>13.69</v>
      </c>
      <c r="J14" s="49"/>
    </row>
    <row r="15" spans="1:10" ht="16.5" customHeight="1" x14ac:dyDescent="0.3">
      <c r="A15" s="63">
        <v>5</v>
      </c>
      <c r="B15" s="64">
        <v>194547550</v>
      </c>
      <c r="C15" s="64">
        <v>7392.34</v>
      </c>
      <c r="D15" s="65">
        <v>0.99</v>
      </c>
      <c r="E15" s="65">
        <v>9.94</v>
      </c>
      <c r="F15" s="65">
        <v>13.77</v>
      </c>
      <c r="J15" s="49"/>
    </row>
    <row r="16" spans="1:10" ht="16.5" customHeight="1" x14ac:dyDescent="0.3">
      <c r="A16" s="63">
        <v>6</v>
      </c>
      <c r="B16" s="67">
        <v>194582477</v>
      </c>
      <c r="C16" s="67">
        <v>7369.58</v>
      </c>
      <c r="D16" s="68">
        <v>0.98</v>
      </c>
      <c r="E16" s="68">
        <v>9.92</v>
      </c>
      <c r="F16" s="68">
        <v>13.75</v>
      </c>
      <c r="J16" s="49"/>
    </row>
    <row r="17" spans="1:10" ht="16.5" customHeight="1" x14ac:dyDescent="0.3">
      <c r="A17" s="69" t="s">
        <v>17</v>
      </c>
      <c r="B17" s="70">
        <f>AVERAGE(B11:B16)</f>
        <v>194408554.16666666</v>
      </c>
      <c r="C17" s="71">
        <f>AVERAGE(C11:C16)</f>
        <v>7359.2616666666681</v>
      </c>
      <c r="D17" s="72">
        <f>AVERAGE(D11:D16)</f>
        <v>0.98666666666666669</v>
      </c>
      <c r="E17" s="72">
        <f>AVERAGE(E11:E16)</f>
        <v>9.8683333333333323</v>
      </c>
      <c r="F17" s="72">
        <f>AVERAGE(F11:F16)</f>
        <v>13.718333333333334</v>
      </c>
      <c r="J17" s="49"/>
    </row>
    <row r="18" spans="1:10" ht="16.5" customHeight="1" x14ac:dyDescent="0.3">
      <c r="A18" s="73" t="s">
        <v>18</v>
      </c>
      <c r="B18" s="74">
        <f>(STDEV(B11:B16)/B17)</f>
        <v>1.2644640765117033E-3</v>
      </c>
      <c r="C18" s="75"/>
      <c r="D18" s="75"/>
      <c r="E18" s="75"/>
      <c r="F18" s="76"/>
      <c r="J18" s="49"/>
    </row>
    <row r="19" spans="1:10" s="49" customFormat="1" ht="16.5" customHeight="1" x14ac:dyDescent="0.3">
      <c r="A19" s="77" t="s">
        <v>19</v>
      </c>
      <c r="B19" s="78">
        <f>COUNT(B11:B16)</f>
        <v>6</v>
      </c>
      <c r="C19" s="79"/>
      <c r="D19" s="80"/>
      <c r="E19" s="80"/>
      <c r="F19" s="81"/>
    </row>
    <row r="20" spans="1:10" s="49" customFormat="1" ht="15.75" customHeight="1" x14ac:dyDescent="0.25">
      <c r="A20" s="56"/>
      <c r="B20" s="56"/>
      <c r="C20" s="56"/>
      <c r="D20" s="56"/>
      <c r="E20" s="56"/>
    </row>
    <row r="21" spans="1:10" s="49" customFormat="1" ht="16.5" customHeight="1" x14ac:dyDescent="0.3">
      <c r="A21" s="57" t="s">
        <v>20</v>
      </c>
      <c r="B21" s="82" t="s">
        <v>106</v>
      </c>
      <c r="C21" s="83"/>
      <c r="D21" s="83"/>
      <c r="E21" s="83"/>
    </row>
    <row r="22" spans="1:10" ht="16.5" customHeight="1" x14ac:dyDescent="0.3">
      <c r="A22" s="57"/>
      <c r="B22" s="82" t="s">
        <v>107</v>
      </c>
      <c r="C22" s="83"/>
      <c r="D22" s="83"/>
      <c r="E22" s="83"/>
    </row>
    <row r="23" spans="1:10" ht="16.5" customHeight="1" x14ac:dyDescent="0.3">
      <c r="A23" s="57"/>
      <c r="B23" s="82" t="s">
        <v>108</v>
      </c>
      <c r="C23" s="83"/>
      <c r="D23" s="83"/>
      <c r="E23" s="83"/>
    </row>
    <row r="24" spans="1:10" ht="16.5" customHeight="1" x14ac:dyDescent="0.3">
      <c r="A24" s="57"/>
      <c r="B24" s="84" t="s">
        <v>109</v>
      </c>
      <c r="C24" s="83"/>
      <c r="D24" s="83"/>
      <c r="E24" s="83"/>
    </row>
    <row r="25" spans="1:10" ht="15.75" customHeight="1" x14ac:dyDescent="0.25">
      <c r="A25" s="56"/>
      <c r="C25" s="56"/>
      <c r="D25" s="56"/>
      <c r="E25" s="56"/>
    </row>
    <row r="26" spans="1:10" ht="16.5" customHeight="1" x14ac:dyDescent="0.3">
      <c r="A26" s="52" t="s">
        <v>1</v>
      </c>
      <c r="B26" s="53" t="s">
        <v>103</v>
      </c>
    </row>
    <row r="27" spans="1:10" ht="16.5" customHeight="1" x14ac:dyDescent="0.3">
      <c r="A27" s="57" t="s">
        <v>3</v>
      </c>
      <c r="B27" s="54" t="s">
        <v>110</v>
      </c>
      <c r="C27" s="56"/>
      <c r="D27" s="56"/>
      <c r="E27" s="56"/>
    </row>
    <row r="28" spans="1:10" ht="16.5" customHeight="1" x14ac:dyDescent="0.3">
      <c r="A28" s="57" t="s">
        <v>5</v>
      </c>
      <c r="B28" s="58">
        <v>99.66</v>
      </c>
      <c r="C28" s="56"/>
      <c r="D28" s="56"/>
      <c r="E28" s="56"/>
    </row>
    <row r="29" spans="1:10" ht="16.5" customHeight="1" x14ac:dyDescent="0.3">
      <c r="A29" s="54" t="s">
        <v>7</v>
      </c>
      <c r="B29" s="58">
        <v>29.3</v>
      </c>
      <c r="C29" s="56"/>
      <c r="D29" s="56"/>
      <c r="E29" s="56"/>
    </row>
    <row r="30" spans="1:10" ht="16.5" customHeight="1" x14ac:dyDescent="0.3">
      <c r="A30" s="54" t="s">
        <v>9</v>
      </c>
      <c r="B30" s="59">
        <f>B29/100*3/20</f>
        <v>4.3950000000000003E-2</v>
      </c>
      <c r="C30" s="56"/>
      <c r="D30" s="56"/>
      <c r="E30" s="56"/>
    </row>
    <row r="31" spans="1:10" ht="15.75" customHeight="1" x14ac:dyDescent="0.25">
      <c r="A31" s="56"/>
      <c r="B31" s="56"/>
      <c r="C31" s="56"/>
      <c r="D31" s="56"/>
      <c r="E31" s="56"/>
    </row>
    <row r="32" spans="1:10" ht="16.5" customHeight="1" x14ac:dyDescent="0.3">
      <c r="A32" s="60" t="s">
        <v>12</v>
      </c>
      <c r="B32" s="61" t="s">
        <v>13</v>
      </c>
      <c r="C32" s="60" t="s">
        <v>14</v>
      </c>
      <c r="D32" s="60" t="s">
        <v>15</v>
      </c>
      <c r="E32" s="60" t="s">
        <v>16</v>
      </c>
    </row>
    <row r="33" spans="1:7" ht="16.5" customHeight="1" x14ac:dyDescent="0.3">
      <c r="A33" s="63">
        <v>1</v>
      </c>
      <c r="B33" s="64">
        <v>14321874</v>
      </c>
      <c r="C33" s="64">
        <v>6765.44</v>
      </c>
      <c r="D33" s="65">
        <v>1.1000000000000001</v>
      </c>
      <c r="E33" s="66">
        <v>5.19</v>
      </c>
    </row>
    <row r="34" spans="1:7" ht="16.5" customHeight="1" x14ac:dyDescent="0.3">
      <c r="A34" s="63">
        <v>2</v>
      </c>
      <c r="B34" s="64">
        <v>14294676</v>
      </c>
      <c r="C34" s="64">
        <v>6742.96</v>
      </c>
      <c r="D34" s="65">
        <v>1.1100000000000001</v>
      </c>
      <c r="E34" s="65">
        <v>5.2</v>
      </c>
    </row>
    <row r="35" spans="1:7" ht="16.5" customHeight="1" x14ac:dyDescent="0.3">
      <c r="A35" s="63">
        <v>3</v>
      </c>
      <c r="B35" s="64">
        <v>14324946</v>
      </c>
      <c r="C35" s="64">
        <v>6749.56</v>
      </c>
      <c r="D35" s="65">
        <v>1.1100000000000001</v>
      </c>
      <c r="E35" s="65">
        <v>5.19</v>
      </c>
    </row>
    <row r="36" spans="1:7" ht="16.5" customHeight="1" x14ac:dyDescent="0.3">
      <c r="A36" s="63">
        <v>4</v>
      </c>
      <c r="B36" s="64">
        <v>14320854</v>
      </c>
      <c r="C36" s="64">
        <v>6752.04</v>
      </c>
      <c r="D36" s="65">
        <v>1.1100000000000001</v>
      </c>
      <c r="E36" s="65">
        <v>5.19</v>
      </c>
    </row>
    <row r="37" spans="1:7" ht="16.5" customHeight="1" x14ac:dyDescent="0.3">
      <c r="A37" s="63">
        <v>5</v>
      </c>
      <c r="B37" s="64">
        <v>14336350</v>
      </c>
      <c r="C37" s="64">
        <v>6706.13</v>
      </c>
      <c r="D37" s="65">
        <v>1.1100000000000001</v>
      </c>
      <c r="E37" s="65">
        <v>5.19</v>
      </c>
    </row>
    <row r="38" spans="1:7" ht="16.5" customHeight="1" x14ac:dyDescent="0.3">
      <c r="A38" s="63">
        <v>6</v>
      </c>
      <c r="B38" s="67">
        <v>14357212</v>
      </c>
      <c r="C38" s="67">
        <v>6732.51</v>
      </c>
      <c r="D38" s="68">
        <v>1.0900000000000001</v>
      </c>
      <c r="E38" s="68">
        <v>5.19</v>
      </c>
    </row>
    <row r="39" spans="1:7" ht="16.5" customHeight="1" x14ac:dyDescent="0.3">
      <c r="A39" s="69" t="s">
        <v>17</v>
      </c>
      <c r="B39" s="70">
        <f>AVERAGE(B33:B38)</f>
        <v>14325985.333333334</v>
      </c>
      <c r="C39" s="71">
        <f>AVERAGE(C33:C38)</f>
        <v>6741.44</v>
      </c>
      <c r="D39" s="72">
        <f>AVERAGE(D33:D38)</f>
        <v>1.1050000000000002</v>
      </c>
      <c r="E39" s="72">
        <f>AVERAGE(E33:E38)</f>
        <v>5.1916666666666673</v>
      </c>
    </row>
    <row r="40" spans="1:7" ht="16.5" customHeight="1" x14ac:dyDescent="0.3">
      <c r="A40" s="73" t="s">
        <v>18</v>
      </c>
      <c r="B40" s="74">
        <f>(STDEV(B33:B38)/B39)</f>
        <v>1.4329632471010306E-3</v>
      </c>
      <c r="C40" s="75"/>
      <c r="D40" s="75"/>
      <c r="E40" s="76"/>
    </row>
    <row r="41" spans="1:7" s="49" customFormat="1" ht="16.5" customHeight="1" x14ac:dyDescent="0.3">
      <c r="A41" s="77" t="s">
        <v>19</v>
      </c>
      <c r="B41" s="78">
        <f>COUNT(B33:B38)</f>
        <v>6</v>
      </c>
      <c r="C41" s="79"/>
      <c r="D41" s="80"/>
      <c r="E41" s="81"/>
    </row>
    <row r="42" spans="1:7" s="49" customFormat="1" ht="15.75" customHeight="1" x14ac:dyDescent="0.25">
      <c r="A42" s="56"/>
      <c r="B42" s="56"/>
      <c r="C42" s="56"/>
      <c r="D42" s="56"/>
      <c r="E42" s="56"/>
    </row>
    <row r="43" spans="1:7" s="49" customFormat="1" ht="16.5" customHeight="1" x14ac:dyDescent="0.3">
      <c r="A43" s="57" t="s">
        <v>20</v>
      </c>
      <c r="B43" s="82" t="s">
        <v>106</v>
      </c>
      <c r="C43" s="83"/>
      <c r="D43" s="83"/>
      <c r="E43" s="83"/>
    </row>
    <row r="44" spans="1:7" ht="16.5" customHeight="1" x14ac:dyDescent="0.3">
      <c r="A44" s="57"/>
      <c r="B44" s="82" t="s">
        <v>107</v>
      </c>
      <c r="C44" s="83"/>
      <c r="D44" s="83"/>
      <c r="E44" s="83"/>
    </row>
    <row r="45" spans="1:7" ht="16.5" customHeight="1" x14ac:dyDescent="0.3">
      <c r="A45" s="57"/>
      <c r="B45" s="82" t="s">
        <v>108</v>
      </c>
      <c r="C45" s="83"/>
      <c r="D45" s="83"/>
      <c r="E45" s="83"/>
    </row>
    <row r="46" spans="1:7" ht="14.25" customHeight="1" thickBot="1" x14ac:dyDescent="0.3">
      <c r="A46" s="85"/>
      <c r="D46" s="86"/>
      <c r="F46" s="51"/>
      <c r="G46" s="51"/>
    </row>
    <row r="47" spans="1:7" ht="15" customHeight="1" x14ac:dyDescent="0.3">
      <c r="B47" s="264" t="s">
        <v>21</v>
      </c>
      <c r="C47" s="264"/>
      <c r="E47" s="87" t="s">
        <v>22</v>
      </c>
      <c r="F47" s="88"/>
      <c r="G47" s="87" t="s">
        <v>23</v>
      </c>
    </row>
    <row r="48" spans="1:7" ht="15" customHeight="1" x14ac:dyDescent="0.3">
      <c r="A48" s="89" t="s">
        <v>24</v>
      </c>
      <c r="B48" s="90" t="s">
        <v>111</v>
      </c>
      <c r="C48" s="90"/>
      <c r="E48" s="90" t="s">
        <v>134</v>
      </c>
      <c r="G48" s="90"/>
    </row>
    <row r="49" spans="1:7" ht="15" customHeight="1" x14ac:dyDescent="0.3">
      <c r="A49" s="89" t="s">
        <v>25</v>
      </c>
      <c r="B49" s="91"/>
      <c r="C49" s="91"/>
      <c r="E49" s="91"/>
      <c r="G49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58" zoomScale="60" zoomScaleNormal="60" zoomScaleSheetLayoutView="40" zoomScalePageLayoutView="55" workbookViewId="0">
      <selection activeCell="C123" sqref="C12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 x14ac:dyDescent="0.25">
      <c r="A1" s="268" t="s">
        <v>40</v>
      </c>
      <c r="B1" s="268"/>
      <c r="C1" s="268"/>
      <c r="D1" s="268"/>
      <c r="E1" s="268"/>
      <c r="F1" s="268"/>
      <c r="G1" s="268"/>
      <c r="H1" s="268"/>
      <c r="I1" s="268"/>
    </row>
    <row r="2" spans="1:9" ht="18.75" customHeight="1" x14ac:dyDescent="0.25">
      <c r="A2" s="268"/>
      <c r="B2" s="268"/>
      <c r="C2" s="268"/>
      <c r="D2" s="268"/>
      <c r="E2" s="268"/>
      <c r="F2" s="268"/>
      <c r="G2" s="268"/>
      <c r="H2" s="268"/>
      <c r="I2" s="268"/>
    </row>
    <row r="3" spans="1:9" ht="18.75" customHeight="1" x14ac:dyDescent="0.25">
      <c r="A3" s="268"/>
      <c r="B3" s="268"/>
      <c r="C3" s="268"/>
      <c r="D3" s="268"/>
      <c r="E3" s="268"/>
      <c r="F3" s="268"/>
      <c r="G3" s="268"/>
      <c r="H3" s="268"/>
      <c r="I3" s="268"/>
    </row>
    <row r="4" spans="1:9" ht="18.75" customHeight="1" x14ac:dyDescent="0.25">
      <c r="A4" s="268"/>
      <c r="B4" s="268"/>
      <c r="C4" s="268"/>
      <c r="D4" s="268"/>
      <c r="E4" s="268"/>
      <c r="F4" s="268"/>
      <c r="G4" s="268"/>
      <c r="H4" s="268"/>
      <c r="I4" s="268"/>
    </row>
    <row r="5" spans="1:9" ht="18.75" customHeight="1" x14ac:dyDescent="0.25">
      <c r="A5" s="268"/>
      <c r="B5" s="268"/>
      <c r="C5" s="268"/>
      <c r="D5" s="268"/>
      <c r="E5" s="268"/>
      <c r="F5" s="268"/>
      <c r="G5" s="268"/>
      <c r="H5" s="268"/>
      <c r="I5" s="268"/>
    </row>
    <row r="6" spans="1:9" ht="18.75" customHeight="1" x14ac:dyDescent="0.25">
      <c r="A6" s="268"/>
      <c r="B6" s="268"/>
      <c r="C6" s="268"/>
      <c r="D6" s="268"/>
      <c r="E6" s="268"/>
      <c r="F6" s="268"/>
      <c r="G6" s="268"/>
      <c r="H6" s="268"/>
      <c r="I6" s="268"/>
    </row>
    <row r="7" spans="1:9" ht="18.75" customHeight="1" x14ac:dyDescent="0.25">
      <c r="A7" s="268"/>
      <c r="B7" s="268"/>
      <c r="C7" s="268"/>
      <c r="D7" s="268"/>
      <c r="E7" s="268"/>
      <c r="F7" s="268"/>
      <c r="G7" s="268"/>
      <c r="H7" s="268"/>
      <c r="I7" s="268"/>
    </row>
    <row r="8" spans="1:9" x14ac:dyDescent="0.25">
      <c r="A8" s="269" t="s">
        <v>41</v>
      </c>
      <c r="B8" s="269"/>
      <c r="C8" s="269"/>
      <c r="D8" s="269"/>
      <c r="E8" s="269"/>
      <c r="F8" s="269"/>
      <c r="G8" s="269"/>
      <c r="H8" s="269"/>
      <c r="I8" s="269"/>
    </row>
    <row r="9" spans="1:9" x14ac:dyDescent="0.25">
      <c r="A9" s="269"/>
      <c r="B9" s="269"/>
      <c r="C9" s="269"/>
      <c r="D9" s="269"/>
      <c r="E9" s="269"/>
      <c r="F9" s="269"/>
      <c r="G9" s="269"/>
      <c r="H9" s="269"/>
      <c r="I9" s="269"/>
    </row>
    <row r="10" spans="1:9" x14ac:dyDescent="0.25">
      <c r="A10" s="269"/>
      <c r="B10" s="269"/>
      <c r="C10" s="269"/>
      <c r="D10" s="269"/>
      <c r="E10" s="269"/>
      <c r="F10" s="269"/>
      <c r="G10" s="269"/>
      <c r="H10" s="269"/>
      <c r="I10" s="269"/>
    </row>
    <row r="11" spans="1:9" x14ac:dyDescent="0.25">
      <c r="A11" s="269"/>
      <c r="B11" s="269"/>
      <c r="C11" s="269"/>
      <c r="D11" s="269"/>
      <c r="E11" s="269"/>
      <c r="F11" s="269"/>
      <c r="G11" s="269"/>
      <c r="H11" s="269"/>
      <c r="I11" s="269"/>
    </row>
    <row r="12" spans="1:9" x14ac:dyDescent="0.25">
      <c r="A12" s="269"/>
      <c r="B12" s="269"/>
      <c r="C12" s="269"/>
      <c r="D12" s="269"/>
      <c r="E12" s="269"/>
      <c r="F12" s="269"/>
      <c r="G12" s="269"/>
      <c r="H12" s="269"/>
      <c r="I12" s="269"/>
    </row>
    <row r="13" spans="1:9" x14ac:dyDescent="0.25">
      <c r="A13" s="269"/>
      <c r="B13" s="269"/>
      <c r="C13" s="269"/>
      <c r="D13" s="269"/>
      <c r="E13" s="269"/>
      <c r="F13" s="269"/>
      <c r="G13" s="269"/>
      <c r="H13" s="269"/>
      <c r="I13" s="269"/>
    </row>
    <row r="14" spans="1:9" x14ac:dyDescent="0.25">
      <c r="A14" s="269"/>
      <c r="B14" s="269"/>
      <c r="C14" s="269"/>
      <c r="D14" s="269"/>
      <c r="E14" s="269"/>
      <c r="F14" s="269"/>
      <c r="G14" s="269"/>
      <c r="H14" s="269"/>
      <c r="I14" s="269"/>
    </row>
    <row r="15" spans="1:9" ht="19.5" customHeight="1" thickBot="1" x14ac:dyDescent="0.35">
      <c r="A15" s="93"/>
    </row>
    <row r="16" spans="1:9" ht="19.5" customHeight="1" thickBot="1" x14ac:dyDescent="0.35">
      <c r="A16" s="270" t="s">
        <v>26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42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94" t="s">
        <v>28</v>
      </c>
      <c r="B18" s="274" t="s">
        <v>112</v>
      </c>
      <c r="C18" s="274"/>
      <c r="D18" s="95"/>
      <c r="E18" s="96"/>
      <c r="F18" s="97"/>
      <c r="G18" s="97"/>
      <c r="H18" s="97"/>
    </row>
    <row r="19" spans="1:14" ht="26.25" customHeight="1" x14ac:dyDescent="0.4">
      <c r="A19" s="94" t="s">
        <v>29</v>
      </c>
      <c r="B19" s="98" t="s">
        <v>133</v>
      </c>
      <c r="C19" s="97">
        <v>29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30</v>
      </c>
      <c r="B20" s="275" t="s">
        <v>113</v>
      </c>
      <c r="C20" s="275"/>
      <c r="D20" s="97"/>
      <c r="E20" s="97"/>
      <c r="F20" s="97"/>
      <c r="G20" s="97"/>
      <c r="H20" s="97"/>
    </row>
    <row r="21" spans="1:14" ht="26.25" customHeight="1" x14ac:dyDescent="0.4">
      <c r="A21" s="94" t="s">
        <v>31</v>
      </c>
      <c r="B21" s="275" t="s">
        <v>114</v>
      </c>
      <c r="C21" s="275"/>
      <c r="D21" s="275"/>
      <c r="E21" s="275"/>
      <c r="F21" s="275"/>
      <c r="G21" s="275"/>
      <c r="H21" s="275"/>
      <c r="I21" s="99"/>
    </row>
    <row r="22" spans="1:14" ht="26.25" customHeight="1" x14ac:dyDescent="0.4">
      <c r="A22" s="94" t="s">
        <v>32</v>
      </c>
      <c r="B22" s="100">
        <v>42466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33</v>
      </c>
      <c r="B23" s="100">
        <v>42487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3</v>
      </c>
      <c r="B26" s="274" t="s">
        <v>104</v>
      </c>
      <c r="C26" s="274"/>
    </row>
    <row r="27" spans="1:14" ht="26.25" customHeight="1" x14ac:dyDescent="0.4">
      <c r="A27" s="104" t="s">
        <v>43</v>
      </c>
      <c r="B27" s="276" t="s">
        <v>115</v>
      </c>
      <c r="C27" s="276"/>
    </row>
    <row r="28" spans="1:14" ht="27" customHeight="1" thickBot="1" x14ac:dyDescent="0.45">
      <c r="A28" s="104" t="s">
        <v>5</v>
      </c>
      <c r="B28" s="105">
        <v>99.8</v>
      </c>
    </row>
    <row r="29" spans="1:14" s="60" customFormat="1" ht="27" customHeight="1" thickBot="1" x14ac:dyDescent="0.45">
      <c r="A29" s="104" t="s">
        <v>44</v>
      </c>
      <c r="B29" s="106">
        <v>0</v>
      </c>
      <c r="C29" s="277" t="s">
        <v>45</v>
      </c>
      <c r="D29" s="278"/>
      <c r="E29" s="278"/>
      <c r="F29" s="278"/>
      <c r="G29" s="279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46</v>
      </c>
      <c r="B30" s="108">
        <f>B28-B29</f>
        <v>99.8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47</v>
      </c>
      <c r="B31" s="111">
        <v>1</v>
      </c>
      <c r="C31" s="265" t="s">
        <v>48</v>
      </c>
      <c r="D31" s="266"/>
      <c r="E31" s="266"/>
      <c r="F31" s="266"/>
      <c r="G31" s="266"/>
      <c r="H31" s="267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49</v>
      </c>
      <c r="B32" s="111">
        <v>1</v>
      </c>
      <c r="C32" s="265" t="s">
        <v>50</v>
      </c>
      <c r="D32" s="266"/>
      <c r="E32" s="266"/>
      <c r="F32" s="266"/>
      <c r="G32" s="266"/>
      <c r="H32" s="267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51</v>
      </c>
      <c r="B34" s="116">
        <f>B31/B32</f>
        <v>1</v>
      </c>
      <c r="C34" s="93" t="s">
        <v>52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53</v>
      </c>
      <c r="B36" s="118">
        <v>50</v>
      </c>
      <c r="C36" s="93"/>
      <c r="D36" s="280" t="s">
        <v>54</v>
      </c>
      <c r="E36" s="281"/>
      <c r="F36" s="280" t="s">
        <v>55</v>
      </c>
      <c r="G36" s="282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116</v>
      </c>
      <c r="B37" s="120">
        <v>10</v>
      </c>
      <c r="C37" s="121" t="s">
        <v>56</v>
      </c>
      <c r="D37" s="122" t="s">
        <v>57</v>
      </c>
      <c r="E37" s="123" t="s">
        <v>58</v>
      </c>
      <c r="F37" s="122" t="s">
        <v>57</v>
      </c>
      <c r="G37" s="124" t="s">
        <v>58</v>
      </c>
      <c r="I37" s="125" t="s">
        <v>59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117</v>
      </c>
      <c r="B38" s="120">
        <v>20</v>
      </c>
      <c r="C38" s="126">
        <v>1</v>
      </c>
      <c r="D38" s="127">
        <v>194267455</v>
      </c>
      <c r="E38" s="128">
        <f>IF(ISBLANK(D38),"-",$D$48/$D$45*D38)</f>
        <v>135061070.97108355</v>
      </c>
      <c r="F38" s="127">
        <v>186933118</v>
      </c>
      <c r="G38" s="129">
        <f>IF(ISBLANK(F38),"-",$D$48/$F$45*F38)</f>
        <v>135240240.77034935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118</v>
      </c>
      <c r="B39" s="120">
        <v>1</v>
      </c>
      <c r="C39" s="131">
        <v>2</v>
      </c>
      <c r="D39" s="132">
        <v>194313421</v>
      </c>
      <c r="E39" s="133">
        <f>IF(ISBLANK(D39),"-",$D$48/$D$45*D39)</f>
        <v>135093028.03351715</v>
      </c>
      <c r="F39" s="132">
        <v>186579096</v>
      </c>
      <c r="G39" s="134">
        <f>IF(ISBLANK(F39),"-",$D$48/$F$45*F39)</f>
        <v>134984116.9704029</v>
      </c>
      <c r="I39" s="283">
        <f>ABS((F43/D43*D42)-F42)/D42</f>
        <v>3.3072285264921256E-4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119</v>
      </c>
      <c r="B40" s="120">
        <v>1</v>
      </c>
      <c r="C40" s="131">
        <v>3</v>
      </c>
      <c r="D40" s="132">
        <v>194412786</v>
      </c>
      <c r="E40" s="133">
        <f>IF(ISBLANK(D40),"-",$D$48/$D$45*D40)</f>
        <v>135162109.82242021</v>
      </c>
      <c r="F40" s="132">
        <v>186535200</v>
      </c>
      <c r="G40" s="134">
        <f>IF(ISBLANK(F40),"-",$D$48/$F$45*F40)</f>
        <v>134952359.59283188</v>
      </c>
      <c r="I40" s="283"/>
      <c r="L40" s="112"/>
      <c r="M40" s="112"/>
      <c r="N40" s="93"/>
    </row>
    <row r="41" spans="1:14" ht="27" customHeight="1" thickBot="1" x14ac:dyDescent="0.45">
      <c r="A41" s="119" t="s">
        <v>120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121</v>
      </c>
      <c r="B42" s="120">
        <v>1</v>
      </c>
      <c r="C42" s="140" t="s">
        <v>60</v>
      </c>
      <c r="D42" s="141">
        <f>AVERAGE(D38:D41)</f>
        <v>194331220.66666666</v>
      </c>
      <c r="E42" s="142">
        <f>AVERAGE(E38:E41)</f>
        <v>135105402.94234028</v>
      </c>
      <c r="F42" s="141">
        <f>AVERAGE(F38:F41)</f>
        <v>186682471.33333334</v>
      </c>
      <c r="G42" s="143">
        <f>AVERAGE(G38:G41)</f>
        <v>135058905.77786136</v>
      </c>
      <c r="H42" s="144"/>
    </row>
    <row r="43" spans="1:14" ht="26.25" customHeight="1" x14ac:dyDescent="0.4">
      <c r="A43" s="119" t="s">
        <v>122</v>
      </c>
      <c r="B43" s="120">
        <v>1</v>
      </c>
      <c r="C43" s="145" t="s">
        <v>61</v>
      </c>
      <c r="D43" s="146">
        <v>23.06</v>
      </c>
      <c r="E43" s="93"/>
      <c r="F43" s="146">
        <v>22.16</v>
      </c>
      <c r="H43" s="144"/>
    </row>
    <row r="44" spans="1:14" ht="26.25" customHeight="1" x14ac:dyDescent="0.4">
      <c r="A44" s="119" t="s">
        <v>123</v>
      </c>
      <c r="B44" s="120">
        <v>1</v>
      </c>
      <c r="C44" s="147" t="s">
        <v>62</v>
      </c>
      <c r="D44" s="148">
        <f>D43*$B$34</f>
        <v>23.06</v>
      </c>
      <c r="E44" s="149"/>
      <c r="F44" s="148">
        <f>F43*$B$34</f>
        <v>22.16</v>
      </c>
      <c r="H44" s="144"/>
    </row>
    <row r="45" spans="1:14" ht="19.5" customHeight="1" thickBot="1" x14ac:dyDescent="0.35">
      <c r="A45" s="119" t="s">
        <v>63</v>
      </c>
      <c r="B45" s="131">
        <f>(B44/B43)*(B42/B41)*(B40/B39)*(B38/B37)*B36</f>
        <v>100</v>
      </c>
      <c r="C45" s="147" t="s">
        <v>64</v>
      </c>
      <c r="D45" s="150">
        <f>D44*$B$30/100</f>
        <v>23.01388</v>
      </c>
      <c r="E45" s="151"/>
      <c r="F45" s="150">
        <f>F44*$B$30/100</f>
        <v>22.115679999999998</v>
      </c>
      <c r="H45" s="144"/>
    </row>
    <row r="46" spans="1:14" ht="19.5" customHeight="1" thickBot="1" x14ac:dyDescent="0.35">
      <c r="A46" s="284" t="s">
        <v>65</v>
      </c>
      <c r="B46" s="285"/>
      <c r="C46" s="147" t="s">
        <v>66</v>
      </c>
      <c r="D46" s="152">
        <f>D45/$B$45</f>
        <v>0.2301388</v>
      </c>
      <c r="E46" s="153"/>
      <c r="F46" s="154">
        <f>F45/$B$45</f>
        <v>0.22115679999999999</v>
      </c>
      <c r="H46" s="144"/>
    </row>
    <row r="47" spans="1:14" ht="27" customHeight="1" thickBot="1" x14ac:dyDescent="0.45">
      <c r="A47" s="286"/>
      <c r="B47" s="287"/>
      <c r="C47" s="155" t="s">
        <v>67</v>
      </c>
      <c r="D47" s="156">
        <v>0.16</v>
      </c>
      <c r="E47" s="157"/>
      <c r="F47" s="153"/>
      <c r="H47" s="144"/>
    </row>
    <row r="48" spans="1:14" ht="18.75" x14ac:dyDescent="0.3">
      <c r="C48" s="158" t="s">
        <v>68</v>
      </c>
      <c r="D48" s="150">
        <f>D47*$B$45</f>
        <v>16</v>
      </c>
      <c r="F48" s="159"/>
      <c r="H48" s="144"/>
    </row>
    <row r="49" spans="1:12" ht="19.5" customHeight="1" thickBot="1" x14ac:dyDescent="0.35">
      <c r="C49" s="160" t="s">
        <v>69</v>
      </c>
      <c r="D49" s="161">
        <f>D48/B34</f>
        <v>16</v>
      </c>
      <c r="F49" s="159"/>
      <c r="H49" s="144"/>
    </row>
    <row r="50" spans="1:12" ht="18.75" x14ac:dyDescent="0.3">
      <c r="C50" s="117" t="s">
        <v>70</v>
      </c>
      <c r="D50" s="162">
        <f>AVERAGE(E38:E41,G38:G41)</f>
        <v>135082154.36010084</v>
      </c>
      <c r="F50" s="163"/>
      <c r="H50" s="144"/>
    </row>
    <row r="51" spans="1:12" ht="18.75" x14ac:dyDescent="0.3">
      <c r="C51" s="119" t="s">
        <v>71</v>
      </c>
      <c r="D51" s="164">
        <f>STDEV(E38:E41,G38:G41)/D50</f>
        <v>8.0009551278202107E-4</v>
      </c>
      <c r="F51" s="163"/>
      <c r="H51" s="144"/>
    </row>
    <row r="52" spans="1:12" ht="19.5" customHeight="1" thickBot="1" x14ac:dyDescent="0.35">
      <c r="C52" s="165" t="s">
        <v>19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72</v>
      </c>
    </row>
    <row r="55" spans="1:12" ht="18.75" x14ac:dyDescent="0.3">
      <c r="A55" s="93" t="s">
        <v>73</v>
      </c>
      <c r="B55" s="169" t="str">
        <f>B21</f>
        <v>Each tablet contains: Sulphamethoxazole B.P. 800 mg and Trimethoprim B.P. 160 mg.</v>
      </c>
    </row>
    <row r="56" spans="1:12" ht="26.25" customHeight="1" x14ac:dyDescent="0.4">
      <c r="A56" s="169" t="s">
        <v>74</v>
      </c>
      <c r="B56" s="170">
        <v>800</v>
      </c>
      <c r="C56" s="93" t="str">
        <f>B20</f>
        <v>each tablets contains sulphamethoxazole 800mg Trimethoprim 160mg.</v>
      </c>
      <c r="H56" s="149"/>
    </row>
    <row r="57" spans="1:12" ht="18.75" x14ac:dyDescent="0.3">
      <c r="A57" s="169" t="s">
        <v>75</v>
      </c>
      <c r="B57" s="171">
        <f>Uniformity!C46</f>
        <v>1039.4640000000002</v>
      </c>
      <c r="H57" s="149"/>
    </row>
    <row r="58" spans="1:12" ht="19.5" customHeight="1" thickBot="1" x14ac:dyDescent="0.35">
      <c r="H58" s="149"/>
    </row>
    <row r="59" spans="1:12" s="60" customFormat="1" ht="27" customHeight="1" thickBot="1" x14ac:dyDescent="0.45">
      <c r="A59" s="117" t="s">
        <v>76</v>
      </c>
      <c r="B59" s="118">
        <v>200</v>
      </c>
      <c r="C59" s="93"/>
      <c r="D59" s="172" t="s">
        <v>77</v>
      </c>
      <c r="E59" s="173" t="s">
        <v>56</v>
      </c>
      <c r="F59" s="173" t="s">
        <v>57</v>
      </c>
      <c r="G59" s="173" t="s">
        <v>78</v>
      </c>
      <c r="H59" s="121" t="s">
        <v>79</v>
      </c>
      <c r="L59" s="107"/>
    </row>
    <row r="60" spans="1:12" s="60" customFormat="1" ht="26.25" customHeight="1" x14ac:dyDescent="0.4">
      <c r="A60" s="119" t="s">
        <v>124</v>
      </c>
      <c r="B60" s="120">
        <v>2</v>
      </c>
      <c r="C60" s="288" t="s">
        <v>80</v>
      </c>
      <c r="D60" s="291">
        <v>1042.42</v>
      </c>
      <c r="E60" s="174">
        <v>1</v>
      </c>
      <c r="F60" s="175">
        <v>135184849</v>
      </c>
      <c r="G60" s="176">
        <f>IF(ISBLANK(F60),"-",(F60/$D$50*$D$47*$B$68)*($B$57/$D$60))</f>
        <v>798.33789868998815</v>
      </c>
      <c r="H60" s="177">
        <f t="shared" ref="H60:H71" si="0">IF(ISBLANK(F60),"-",G60/$B$56)</f>
        <v>0.99792237336248524</v>
      </c>
      <c r="L60" s="107"/>
    </row>
    <row r="61" spans="1:12" s="60" customFormat="1" ht="26.25" customHeight="1" x14ac:dyDescent="0.4">
      <c r="A61" s="119" t="s">
        <v>125</v>
      </c>
      <c r="B61" s="120">
        <v>50</v>
      </c>
      <c r="C61" s="289"/>
      <c r="D61" s="292"/>
      <c r="E61" s="178">
        <v>2</v>
      </c>
      <c r="F61" s="132">
        <v>135031226</v>
      </c>
      <c r="G61" s="179">
        <f>IF(ISBLANK(F61),"-",(F61/$D$50*$D$47*$B$68)*($B$57/$D$60))</f>
        <v>797.43067377597106</v>
      </c>
      <c r="H61" s="180">
        <f t="shared" si="0"/>
        <v>0.99678834221996382</v>
      </c>
      <c r="L61" s="107"/>
    </row>
    <row r="62" spans="1:12" s="60" customFormat="1" ht="26.25" customHeight="1" x14ac:dyDescent="0.4">
      <c r="A62" s="119" t="s">
        <v>126</v>
      </c>
      <c r="B62" s="120">
        <v>1</v>
      </c>
      <c r="C62" s="289"/>
      <c r="D62" s="292"/>
      <c r="E62" s="178">
        <v>3</v>
      </c>
      <c r="F62" s="181">
        <v>135065606</v>
      </c>
      <c r="G62" s="179">
        <f>IF(ISBLANK(F62),"-",(F62/$D$50*$D$47*$B$68)*($B$57/$D$60))</f>
        <v>797.6337058254943</v>
      </c>
      <c r="H62" s="180">
        <f t="shared" si="0"/>
        <v>0.99704213228186789</v>
      </c>
      <c r="L62" s="107"/>
    </row>
    <row r="63" spans="1:12" ht="27" customHeight="1" thickBot="1" x14ac:dyDescent="0.45">
      <c r="A63" s="119" t="s">
        <v>127</v>
      </c>
      <c r="B63" s="120">
        <v>1</v>
      </c>
      <c r="C63" s="290"/>
      <c r="D63" s="293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19" t="s">
        <v>128</v>
      </c>
      <c r="B64" s="120">
        <v>1</v>
      </c>
      <c r="C64" s="288" t="s">
        <v>81</v>
      </c>
      <c r="D64" s="291">
        <v>1043.68</v>
      </c>
      <c r="E64" s="174">
        <v>1</v>
      </c>
      <c r="F64" s="175">
        <v>134645138</v>
      </c>
      <c r="G64" s="184">
        <f>IF(ISBLANK(F64),"-",(F64/$D$50*$D$47*$B$68)*($B$57/$D$64))</f>
        <v>794.19066153450706</v>
      </c>
      <c r="H64" s="185">
        <f t="shared" si="0"/>
        <v>0.9927383269181338</v>
      </c>
    </row>
    <row r="65" spans="1:8" ht="26.25" customHeight="1" x14ac:dyDescent="0.4">
      <c r="A65" s="119" t="s">
        <v>129</v>
      </c>
      <c r="B65" s="120">
        <v>1</v>
      </c>
      <c r="C65" s="289"/>
      <c r="D65" s="292"/>
      <c r="E65" s="178">
        <v>2</v>
      </c>
      <c r="F65" s="132">
        <v>134275535</v>
      </c>
      <c r="G65" s="186">
        <f>IF(ISBLANK(F65),"-",(F65/$D$50*$D$47*$B$68)*($B$57/$D$64))</f>
        <v>792.01059580443109</v>
      </c>
      <c r="H65" s="187">
        <f t="shared" si="0"/>
        <v>0.99001324475553887</v>
      </c>
    </row>
    <row r="66" spans="1:8" ht="26.25" customHeight="1" x14ac:dyDescent="0.4">
      <c r="A66" s="119" t="s">
        <v>130</v>
      </c>
      <c r="B66" s="120">
        <v>1</v>
      </c>
      <c r="C66" s="289"/>
      <c r="D66" s="292"/>
      <c r="E66" s="178">
        <v>3</v>
      </c>
      <c r="F66" s="132">
        <v>134332663</v>
      </c>
      <c r="G66" s="186">
        <f>IF(ISBLANK(F66),"-",(F66/$D$50*$D$47*$B$68)*($B$57/$D$64))</f>
        <v>792.34755950609963</v>
      </c>
      <c r="H66" s="187">
        <f t="shared" si="0"/>
        <v>0.99043444938262448</v>
      </c>
    </row>
    <row r="67" spans="1:8" ht="27" customHeight="1" thickBot="1" x14ac:dyDescent="0.45">
      <c r="A67" s="119" t="s">
        <v>131</v>
      </c>
      <c r="B67" s="120">
        <v>1</v>
      </c>
      <c r="C67" s="290"/>
      <c r="D67" s="293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19" t="s">
        <v>82</v>
      </c>
      <c r="B68" s="190">
        <f>(B67/B66)*(B65/B64)*(B63/B62)*(B61/B60)*B59</f>
        <v>5000</v>
      </c>
      <c r="C68" s="288" t="s">
        <v>83</v>
      </c>
      <c r="D68" s="291">
        <v>1047.5</v>
      </c>
      <c r="E68" s="174">
        <v>1</v>
      </c>
      <c r="F68" s="175">
        <v>135421681</v>
      </c>
      <c r="G68" s="184">
        <f>IF(ISBLANK(F68),"-",(F68/$D$50*$D$47*$B$68)*($B$57/$D$68))</f>
        <v>795.85808087179191</v>
      </c>
      <c r="H68" s="180">
        <f t="shared" si="0"/>
        <v>0.99482260108973986</v>
      </c>
    </row>
    <row r="69" spans="1:8" ht="27" customHeight="1" thickBot="1" x14ac:dyDescent="0.45">
      <c r="A69" s="165" t="s">
        <v>84</v>
      </c>
      <c r="B69" s="191">
        <f>(D47*B68)/B56*B57</f>
        <v>1039.4640000000002</v>
      </c>
      <c r="C69" s="289"/>
      <c r="D69" s="292"/>
      <c r="E69" s="178">
        <v>2</v>
      </c>
      <c r="F69" s="132">
        <v>135773458</v>
      </c>
      <c r="G69" s="186">
        <f>IF(ISBLANK(F69),"-",(F69/$D$50*$D$47*$B$68)*($B$57/$D$68))</f>
        <v>797.92543497674387</v>
      </c>
      <c r="H69" s="180">
        <f t="shared" si="0"/>
        <v>0.99740679372092989</v>
      </c>
    </row>
    <row r="70" spans="1:8" ht="26.25" customHeight="1" x14ac:dyDescent="0.4">
      <c r="A70" s="296" t="s">
        <v>65</v>
      </c>
      <c r="B70" s="297"/>
      <c r="C70" s="289"/>
      <c r="D70" s="292"/>
      <c r="E70" s="178">
        <v>3</v>
      </c>
      <c r="F70" s="132">
        <v>135670459</v>
      </c>
      <c r="G70" s="186">
        <f>IF(ISBLANK(F70),"-",(F70/$D$50*$D$47*$B$68)*($B$57/$D$68))</f>
        <v>797.32012136767923</v>
      </c>
      <c r="H70" s="180">
        <f t="shared" si="0"/>
        <v>0.99665015170959903</v>
      </c>
    </row>
    <row r="71" spans="1:8" ht="27" customHeight="1" thickBot="1" x14ac:dyDescent="0.45">
      <c r="A71" s="298"/>
      <c r="B71" s="299"/>
      <c r="C71" s="294"/>
      <c r="D71" s="293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60</v>
      </c>
      <c r="G72" s="194">
        <f>AVERAGE(G60:G71)</f>
        <v>795.89497026141169</v>
      </c>
      <c r="H72" s="195">
        <f>AVERAGE(H60:H71)</f>
        <v>0.99486871282676459</v>
      </c>
    </row>
    <row r="73" spans="1:8" ht="26.25" customHeight="1" x14ac:dyDescent="0.4">
      <c r="C73" s="149"/>
      <c r="D73" s="149"/>
      <c r="E73" s="149"/>
      <c r="F73" s="196" t="s">
        <v>71</v>
      </c>
      <c r="G73" s="197">
        <f>STDEV(G60:G71)/G72</f>
        <v>3.080277271370772E-3</v>
      </c>
      <c r="H73" s="197">
        <f>STDEV(H60:H71)/H72</f>
        <v>3.0802772713707932E-3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19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3" t="s">
        <v>85</v>
      </c>
      <c r="B76" s="104" t="s">
        <v>86</v>
      </c>
      <c r="C76" s="300" t="str">
        <f>B20</f>
        <v>each tablets contains sulphamethoxazole 800mg Trimethoprim 160mg.</v>
      </c>
      <c r="D76" s="300"/>
      <c r="E76" s="93" t="s">
        <v>87</v>
      </c>
      <c r="F76" s="93"/>
      <c r="G76" s="200">
        <f>H72</f>
        <v>0.99486871282676459</v>
      </c>
      <c r="H76" s="108"/>
    </row>
    <row r="77" spans="1:8" ht="18.75" x14ac:dyDescent="0.3">
      <c r="A77" s="102" t="s">
        <v>88</v>
      </c>
      <c r="B77" s="102" t="s">
        <v>89</v>
      </c>
    </row>
    <row r="78" spans="1:8" ht="18.75" x14ac:dyDescent="0.3">
      <c r="A78" s="102"/>
      <c r="B78" s="102"/>
    </row>
    <row r="79" spans="1:8" ht="26.25" customHeight="1" x14ac:dyDescent="0.4">
      <c r="A79" s="103" t="s">
        <v>3</v>
      </c>
      <c r="B79" s="295" t="str">
        <f>B26</f>
        <v>Sulfamethoxazole</v>
      </c>
      <c r="C79" s="295"/>
    </row>
    <row r="80" spans="1:8" ht="26.25" customHeight="1" x14ac:dyDescent="0.4">
      <c r="A80" s="104" t="s">
        <v>43</v>
      </c>
      <c r="B80" s="295" t="str">
        <f>B27</f>
        <v>S12-1</v>
      </c>
      <c r="C80" s="295"/>
    </row>
    <row r="81" spans="1:12" ht="27" customHeight="1" thickBot="1" x14ac:dyDescent="0.45">
      <c r="A81" s="104" t="s">
        <v>5</v>
      </c>
      <c r="B81" s="105">
        <f>B28</f>
        <v>99.8</v>
      </c>
    </row>
    <row r="82" spans="1:12" s="60" customFormat="1" ht="27" customHeight="1" thickBot="1" x14ac:dyDescent="0.45">
      <c r="A82" s="104" t="s">
        <v>44</v>
      </c>
      <c r="B82" s="106">
        <v>0</v>
      </c>
      <c r="C82" s="277" t="s">
        <v>45</v>
      </c>
      <c r="D82" s="278"/>
      <c r="E82" s="278"/>
      <c r="F82" s="278"/>
      <c r="G82" s="279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46</v>
      </c>
      <c r="B83" s="108">
        <f>B81-B82</f>
        <v>99.8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47</v>
      </c>
      <c r="B84" s="111">
        <v>1</v>
      </c>
      <c r="C84" s="265" t="s">
        <v>90</v>
      </c>
      <c r="D84" s="266"/>
      <c r="E84" s="266"/>
      <c r="F84" s="266"/>
      <c r="G84" s="266"/>
      <c r="H84" s="267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49</v>
      </c>
      <c r="B85" s="111">
        <v>1</v>
      </c>
      <c r="C85" s="265" t="s">
        <v>91</v>
      </c>
      <c r="D85" s="266"/>
      <c r="E85" s="266"/>
      <c r="F85" s="266"/>
      <c r="G85" s="266"/>
      <c r="H85" s="267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51</v>
      </c>
      <c r="B87" s="116">
        <f>B84/B85</f>
        <v>1</v>
      </c>
      <c r="C87" s="93" t="s">
        <v>52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53</v>
      </c>
      <c r="B89" s="118">
        <v>50</v>
      </c>
      <c r="D89" s="201" t="s">
        <v>54</v>
      </c>
      <c r="E89" s="202"/>
      <c r="F89" s="280" t="s">
        <v>55</v>
      </c>
      <c r="G89" s="282"/>
    </row>
    <row r="90" spans="1:12" ht="27" customHeight="1" thickBot="1" x14ac:dyDescent="0.45">
      <c r="A90" s="119" t="s">
        <v>116</v>
      </c>
      <c r="B90" s="120">
        <v>10</v>
      </c>
      <c r="C90" s="203" t="s">
        <v>56</v>
      </c>
      <c r="D90" s="122" t="s">
        <v>57</v>
      </c>
      <c r="E90" s="123" t="s">
        <v>58</v>
      </c>
      <c r="F90" s="122" t="s">
        <v>57</v>
      </c>
      <c r="G90" s="204" t="s">
        <v>58</v>
      </c>
      <c r="I90" s="125" t="s">
        <v>59</v>
      </c>
    </row>
    <row r="91" spans="1:12" ht="26.25" customHeight="1" x14ac:dyDescent="0.4">
      <c r="A91" s="119" t="s">
        <v>117</v>
      </c>
      <c r="B91" s="120">
        <v>20</v>
      </c>
      <c r="C91" s="205">
        <v>1</v>
      </c>
      <c r="D91" s="127">
        <v>194267455</v>
      </c>
      <c r="E91" s="128">
        <f>IF(ISBLANK(D91),"-",$D$101/$D$98*D91)</f>
        <v>150067856.63453725</v>
      </c>
      <c r="F91" s="127">
        <v>186933118</v>
      </c>
      <c r="G91" s="129">
        <f>IF(ISBLANK(F91),"-",$D$101/$F$98*F91)</f>
        <v>150266934.18927711</v>
      </c>
      <c r="I91" s="130"/>
    </row>
    <row r="92" spans="1:12" ht="26.25" customHeight="1" x14ac:dyDescent="0.4">
      <c r="A92" s="119" t="s">
        <v>118</v>
      </c>
      <c r="B92" s="120">
        <v>1</v>
      </c>
      <c r="C92" s="149">
        <v>2</v>
      </c>
      <c r="D92" s="132">
        <v>194313421</v>
      </c>
      <c r="E92" s="133">
        <f>IF(ISBLANK(D92),"-",$D$101/$D$98*D92)</f>
        <v>150103364.48168573</v>
      </c>
      <c r="F92" s="132">
        <v>186579096</v>
      </c>
      <c r="G92" s="134">
        <f>IF(ISBLANK(F92),"-",$D$101/$F$98*F92)</f>
        <v>149982352.1893366</v>
      </c>
      <c r="I92" s="283">
        <f>ABS((F96/D96*D95)-F95)/D95</f>
        <v>3.3072285264921256E-4</v>
      </c>
    </row>
    <row r="93" spans="1:12" ht="26.25" customHeight="1" x14ac:dyDescent="0.4">
      <c r="A93" s="119" t="s">
        <v>119</v>
      </c>
      <c r="B93" s="120">
        <v>1</v>
      </c>
      <c r="C93" s="149">
        <v>3</v>
      </c>
      <c r="D93" s="132">
        <v>194412786</v>
      </c>
      <c r="E93" s="133">
        <f>IF(ISBLANK(D93),"-",$D$101/$D$98*D93)</f>
        <v>150180122.02491134</v>
      </c>
      <c r="F93" s="132">
        <v>186535200</v>
      </c>
      <c r="G93" s="134">
        <f>IF(ISBLANK(F93),"-",$D$101/$F$98*F93)</f>
        <v>149947066.21425766</v>
      </c>
      <c r="I93" s="283"/>
    </row>
    <row r="94" spans="1:12" ht="27" customHeight="1" thickBot="1" x14ac:dyDescent="0.45">
      <c r="A94" s="119" t="s">
        <v>120</v>
      </c>
      <c r="B94" s="120">
        <v>1</v>
      </c>
      <c r="C94" s="206">
        <v>4</v>
      </c>
      <c r="D94" s="136"/>
      <c r="E94" s="137" t="str">
        <f>IF(ISBLANK(D94),"-",$D$101/$D$98*D94)</f>
        <v>-</v>
      </c>
      <c r="F94" s="136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121</v>
      </c>
      <c r="B95" s="120">
        <v>1</v>
      </c>
      <c r="C95" s="104" t="s">
        <v>60</v>
      </c>
      <c r="D95" s="207">
        <f>AVERAGE(D91:D94)</f>
        <v>194331220.66666666</v>
      </c>
      <c r="E95" s="142">
        <f>AVERAGE(E91:E94)</f>
        <v>150117114.3803781</v>
      </c>
      <c r="F95" s="208">
        <f>AVERAGE(F91:F94)</f>
        <v>186682471.33333334</v>
      </c>
      <c r="G95" s="209">
        <f>AVERAGE(G91:G94)</f>
        <v>150065450.86429045</v>
      </c>
    </row>
    <row r="96" spans="1:12" ht="26.25" customHeight="1" x14ac:dyDescent="0.4">
      <c r="A96" s="119" t="s">
        <v>122</v>
      </c>
      <c r="B96" s="105">
        <v>1</v>
      </c>
      <c r="C96" s="210" t="s">
        <v>92</v>
      </c>
      <c r="D96" s="211">
        <f>D43</f>
        <v>23.06</v>
      </c>
      <c r="E96" s="93"/>
      <c r="F96" s="146">
        <f>F43</f>
        <v>22.16</v>
      </c>
    </row>
    <row r="97" spans="1:10" ht="26.25" customHeight="1" x14ac:dyDescent="0.4">
      <c r="A97" s="119" t="s">
        <v>123</v>
      </c>
      <c r="B97" s="105">
        <v>1</v>
      </c>
      <c r="C97" s="212" t="s">
        <v>93</v>
      </c>
      <c r="D97" s="213">
        <f>D96*$B$87</f>
        <v>23.06</v>
      </c>
      <c r="E97" s="149"/>
      <c r="F97" s="148">
        <f>F96*$B$87</f>
        <v>22.16</v>
      </c>
    </row>
    <row r="98" spans="1:10" ht="19.5" customHeight="1" thickBot="1" x14ac:dyDescent="0.35">
      <c r="A98" s="119" t="s">
        <v>63</v>
      </c>
      <c r="B98" s="149">
        <f>(B97/B96)*(B95/B94)*(B93/B92)*(B91/B90)*B89</f>
        <v>100</v>
      </c>
      <c r="C98" s="212" t="s">
        <v>94</v>
      </c>
      <c r="D98" s="214">
        <f>D97*$B$83/100</f>
        <v>23.01388</v>
      </c>
      <c r="E98" s="151"/>
      <c r="F98" s="150">
        <f>F97*$B$83/100</f>
        <v>22.115679999999998</v>
      </c>
    </row>
    <row r="99" spans="1:10" ht="19.5" customHeight="1" thickBot="1" x14ac:dyDescent="0.35">
      <c r="A99" s="284" t="s">
        <v>65</v>
      </c>
      <c r="B99" s="301"/>
      <c r="C99" s="212" t="s">
        <v>95</v>
      </c>
      <c r="D99" s="215">
        <f>D98/$B$98</f>
        <v>0.2301388</v>
      </c>
      <c r="E99" s="151"/>
      <c r="F99" s="154">
        <f>F98/$B$98</f>
        <v>0.22115679999999999</v>
      </c>
      <c r="H99" s="144"/>
    </row>
    <row r="100" spans="1:10" ht="19.5" customHeight="1" thickBot="1" x14ac:dyDescent="0.35">
      <c r="A100" s="286"/>
      <c r="B100" s="302"/>
      <c r="C100" s="212" t="s">
        <v>67</v>
      </c>
      <c r="D100" s="216">
        <f>$B$56/$B$116</f>
        <v>0.17777777777777778</v>
      </c>
      <c r="F100" s="159"/>
      <c r="G100" s="217"/>
      <c r="H100" s="144"/>
    </row>
    <row r="101" spans="1:10" ht="18.75" x14ac:dyDescent="0.3">
      <c r="C101" s="212" t="s">
        <v>68</v>
      </c>
      <c r="D101" s="213">
        <f>D100*$B$98</f>
        <v>17.777777777777779</v>
      </c>
      <c r="F101" s="159"/>
      <c r="H101" s="144"/>
    </row>
    <row r="102" spans="1:10" ht="19.5" customHeight="1" thickBot="1" x14ac:dyDescent="0.35">
      <c r="C102" s="218" t="s">
        <v>69</v>
      </c>
      <c r="D102" s="219">
        <f>D101/B34</f>
        <v>17.777777777777779</v>
      </c>
      <c r="F102" s="163"/>
      <c r="H102" s="144"/>
      <c r="J102" s="220"/>
    </row>
    <row r="103" spans="1:10" ht="18.75" x14ac:dyDescent="0.3">
      <c r="C103" s="221" t="s">
        <v>96</v>
      </c>
      <c r="D103" s="222">
        <f>AVERAGE(E91:E94,G91:G94)</f>
        <v>150091282.62233427</v>
      </c>
      <c r="F103" s="163"/>
      <c r="G103" s="217"/>
      <c r="H103" s="144"/>
      <c r="J103" s="223"/>
    </row>
    <row r="104" spans="1:10" ht="18.75" x14ac:dyDescent="0.3">
      <c r="C104" s="196" t="s">
        <v>71</v>
      </c>
      <c r="D104" s="224">
        <f>STDEV(E91:E94,G91:G94)/D103</f>
        <v>8.0009551278205522E-4</v>
      </c>
      <c r="F104" s="163"/>
      <c r="H104" s="144"/>
      <c r="J104" s="223"/>
    </row>
    <row r="105" spans="1:10" ht="19.5" customHeight="1" thickBot="1" x14ac:dyDescent="0.35">
      <c r="C105" s="198" t="s">
        <v>19</v>
      </c>
      <c r="D105" s="225">
        <f>COUNT(E91:E94,G91:G94)</f>
        <v>6</v>
      </c>
      <c r="F105" s="163"/>
      <c r="H105" s="144"/>
      <c r="J105" s="223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7" t="s">
        <v>97</v>
      </c>
      <c r="B107" s="118">
        <v>900</v>
      </c>
      <c r="C107" s="201" t="s">
        <v>98</v>
      </c>
      <c r="D107" s="226" t="s">
        <v>57</v>
      </c>
      <c r="E107" s="227" t="s">
        <v>99</v>
      </c>
      <c r="F107" s="228" t="s">
        <v>100</v>
      </c>
    </row>
    <row r="108" spans="1:10" ht="26.25" customHeight="1" x14ac:dyDescent="0.4">
      <c r="A108" s="119" t="s">
        <v>132</v>
      </c>
      <c r="B108" s="120">
        <v>10</v>
      </c>
      <c r="C108" s="229">
        <v>1</v>
      </c>
      <c r="D108" s="230">
        <v>151066305</v>
      </c>
      <c r="E108" s="231">
        <f t="shared" ref="E108:E113" si="1">IF(ISBLANK(D108),"-",D108/$D$103*$D$100*$B$116)</f>
        <v>805.196956735291</v>
      </c>
      <c r="F108" s="232">
        <f t="shared" ref="F108:F113" si="2">IF(ISBLANK(D108), "-", E108/$B$56)</f>
        <v>1.0064961959191137</v>
      </c>
    </row>
    <row r="109" spans="1:10" ht="26.25" customHeight="1" x14ac:dyDescent="0.4">
      <c r="A109" s="119" t="s">
        <v>125</v>
      </c>
      <c r="B109" s="120">
        <v>50</v>
      </c>
      <c r="C109" s="229">
        <v>2</v>
      </c>
      <c r="D109" s="230">
        <v>150350829</v>
      </c>
      <c r="E109" s="233">
        <f t="shared" si="1"/>
        <v>801.3834054750206</v>
      </c>
      <c r="F109" s="234">
        <f t="shared" si="2"/>
        <v>1.0017292568437757</v>
      </c>
    </row>
    <row r="110" spans="1:10" ht="26.25" customHeight="1" x14ac:dyDescent="0.4">
      <c r="A110" s="119" t="s">
        <v>126</v>
      </c>
      <c r="B110" s="120">
        <v>1</v>
      </c>
      <c r="C110" s="229">
        <v>3</v>
      </c>
      <c r="D110" s="230">
        <v>152188649</v>
      </c>
      <c r="E110" s="233">
        <f t="shared" si="1"/>
        <v>811.17915093279964</v>
      </c>
      <c r="F110" s="234">
        <f t="shared" si="2"/>
        <v>1.0139739386659996</v>
      </c>
    </row>
    <row r="111" spans="1:10" ht="26.25" customHeight="1" x14ac:dyDescent="0.4">
      <c r="A111" s="119" t="s">
        <v>127</v>
      </c>
      <c r="B111" s="120">
        <v>1</v>
      </c>
      <c r="C111" s="229">
        <v>4</v>
      </c>
      <c r="D111" s="230">
        <v>151934459</v>
      </c>
      <c r="E111" s="233">
        <f t="shared" si="1"/>
        <v>809.82429543122021</v>
      </c>
      <c r="F111" s="234">
        <f t="shared" si="2"/>
        <v>1.0122803692890252</v>
      </c>
    </row>
    <row r="112" spans="1:10" ht="26.25" customHeight="1" x14ac:dyDescent="0.4">
      <c r="A112" s="119" t="s">
        <v>128</v>
      </c>
      <c r="B112" s="120">
        <v>1</v>
      </c>
      <c r="C112" s="229">
        <v>5</v>
      </c>
      <c r="D112" s="230">
        <v>151003239</v>
      </c>
      <c r="E112" s="233">
        <f t="shared" si="1"/>
        <v>804.86080929808793</v>
      </c>
      <c r="F112" s="234">
        <f t="shared" si="2"/>
        <v>1.00607601162261</v>
      </c>
    </row>
    <row r="113" spans="1:10" ht="26.25" customHeight="1" x14ac:dyDescent="0.4">
      <c r="A113" s="119" t="s">
        <v>129</v>
      </c>
      <c r="B113" s="120">
        <v>1</v>
      </c>
      <c r="C113" s="235">
        <v>6</v>
      </c>
      <c r="D113" s="236">
        <v>150985199</v>
      </c>
      <c r="E113" s="237">
        <f t="shared" si="1"/>
        <v>804.76465447984765</v>
      </c>
      <c r="F113" s="238">
        <f t="shared" si="2"/>
        <v>1.0059558180998096</v>
      </c>
    </row>
    <row r="114" spans="1:10" ht="26.25" customHeight="1" x14ac:dyDescent="0.4">
      <c r="A114" s="119" t="s">
        <v>130</v>
      </c>
      <c r="B114" s="120">
        <v>1</v>
      </c>
      <c r="C114" s="229"/>
      <c r="D114" s="149"/>
      <c r="E114" s="93"/>
      <c r="F114" s="239"/>
    </row>
    <row r="115" spans="1:10" ht="26.25" customHeight="1" x14ac:dyDescent="0.4">
      <c r="A115" s="119" t="s">
        <v>131</v>
      </c>
      <c r="B115" s="120">
        <v>1</v>
      </c>
      <c r="C115" s="229"/>
      <c r="D115" s="240" t="s">
        <v>60</v>
      </c>
      <c r="E115" s="241">
        <f>AVERAGE(E108:E113)</f>
        <v>806.20154539204452</v>
      </c>
      <c r="F115" s="242">
        <f>AVERAGE(F108:F113)</f>
        <v>1.0077519317400556</v>
      </c>
    </row>
    <row r="116" spans="1:10" ht="27" customHeight="1" thickBot="1" x14ac:dyDescent="0.45">
      <c r="A116" s="119" t="s">
        <v>82</v>
      </c>
      <c r="B116" s="131">
        <f>(B115/B114)*(B113/B112)*(B111/B110)*(B109/B108)*B107</f>
        <v>4500</v>
      </c>
      <c r="C116" s="243"/>
      <c r="D116" s="104" t="s">
        <v>71</v>
      </c>
      <c r="E116" s="244">
        <f>STDEV(E108:E113)/E115</f>
        <v>4.5060895730567631E-3</v>
      </c>
      <c r="F116" s="244">
        <f>STDEV(F108:F113)/F115</f>
        <v>4.5060895730567848E-3</v>
      </c>
      <c r="I116" s="93"/>
    </row>
    <row r="117" spans="1:10" ht="27" customHeight="1" thickBot="1" x14ac:dyDescent="0.45">
      <c r="A117" s="284" t="s">
        <v>65</v>
      </c>
      <c r="B117" s="285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93"/>
      <c r="J117" s="223"/>
    </row>
    <row r="118" spans="1:10" ht="19.5" customHeight="1" thickBot="1" x14ac:dyDescent="0.35">
      <c r="A118" s="286"/>
      <c r="B118" s="287"/>
      <c r="C118" s="93"/>
      <c r="D118" s="93"/>
      <c r="E118" s="93"/>
      <c r="F118" s="149"/>
      <c r="G118" s="93"/>
      <c r="H118" s="93"/>
      <c r="I118" s="93"/>
    </row>
    <row r="119" spans="1:10" ht="18.75" x14ac:dyDescent="0.3">
      <c r="A119" s="248"/>
      <c r="B119" s="115"/>
      <c r="C119" s="93"/>
      <c r="D119" s="93"/>
      <c r="E119" s="93"/>
      <c r="F119" s="149"/>
      <c r="G119" s="93"/>
      <c r="H119" s="93"/>
      <c r="I119" s="93"/>
    </row>
    <row r="120" spans="1:10" ht="26.25" customHeight="1" x14ac:dyDescent="0.4">
      <c r="A120" s="103" t="s">
        <v>85</v>
      </c>
      <c r="B120" s="104" t="s">
        <v>101</v>
      </c>
      <c r="C120" s="300" t="str">
        <f>B20</f>
        <v>each tablets contains sulphamethoxazole 800mg Trimethoprim 160mg.</v>
      </c>
      <c r="D120" s="300"/>
      <c r="E120" s="93" t="s">
        <v>102</v>
      </c>
      <c r="F120" s="93"/>
      <c r="G120" s="200">
        <f>F115</f>
        <v>1.0077519317400556</v>
      </c>
      <c r="H120" s="93"/>
      <c r="I120" s="93"/>
    </row>
    <row r="121" spans="1:10" ht="19.5" customHeight="1" thickBot="1" x14ac:dyDescent="0.35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303" t="s">
        <v>21</v>
      </c>
      <c r="C122" s="303"/>
      <c r="E122" s="203" t="s">
        <v>22</v>
      </c>
      <c r="F122" s="251"/>
      <c r="G122" s="303" t="s">
        <v>23</v>
      </c>
      <c r="H122" s="303"/>
    </row>
    <row r="123" spans="1:10" ht="69.95" customHeight="1" x14ac:dyDescent="0.3">
      <c r="A123" s="103" t="s">
        <v>24</v>
      </c>
      <c r="B123" s="252"/>
      <c r="C123" s="252"/>
      <c r="E123" s="252"/>
      <c r="F123" s="93"/>
      <c r="G123" s="252"/>
      <c r="H123" s="252"/>
    </row>
    <row r="124" spans="1:10" ht="69.95" customHeight="1" x14ac:dyDescent="0.3">
      <c r="A124" s="103" t="s">
        <v>25</v>
      </c>
      <c r="B124" s="253"/>
      <c r="C124" s="253"/>
      <c r="E124" s="253"/>
      <c r="F124" s="93"/>
      <c r="G124" s="254"/>
      <c r="H124" s="254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3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3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3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3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3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3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3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3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3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6" zoomScale="60" zoomScaleNormal="60" zoomScaleSheetLayoutView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 x14ac:dyDescent="0.25">
      <c r="A1" s="268" t="s">
        <v>40</v>
      </c>
      <c r="B1" s="268"/>
      <c r="C1" s="268"/>
      <c r="D1" s="268"/>
      <c r="E1" s="268"/>
      <c r="F1" s="268"/>
      <c r="G1" s="268"/>
      <c r="H1" s="268"/>
      <c r="I1" s="268"/>
    </row>
    <row r="2" spans="1:9" ht="18.75" customHeight="1" x14ac:dyDescent="0.25">
      <c r="A2" s="268"/>
      <c r="B2" s="268"/>
      <c r="C2" s="268"/>
      <c r="D2" s="268"/>
      <c r="E2" s="268"/>
      <c r="F2" s="268"/>
      <c r="G2" s="268"/>
      <c r="H2" s="268"/>
      <c r="I2" s="268"/>
    </row>
    <row r="3" spans="1:9" ht="18.75" customHeight="1" x14ac:dyDescent="0.25">
      <c r="A3" s="268"/>
      <c r="B3" s="268"/>
      <c r="C3" s="268"/>
      <c r="D3" s="268"/>
      <c r="E3" s="268"/>
      <c r="F3" s="268"/>
      <c r="G3" s="268"/>
      <c r="H3" s="268"/>
      <c r="I3" s="268"/>
    </row>
    <row r="4" spans="1:9" ht="18.75" customHeight="1" x14ac:dyDescent="0.25">
      <c r="A4" s="268"/>
      <c r="B4" s="268"/>
      <c r="C4" s="268"/>
      <c r="D4" s="268"/>
      <c r="E4" s="268"/>
      <c r="F4" s="268"/>
      <c r="G4" s="268"/>
      <c r="H4" s="268"/>
      <c r="I4" s="268"/>
    </row>
    <row r="5" spans="1:9" ht="18.75" customHeight="1" x14ac:dyDescent="0.25">
      <c r="A5" s="268"/>
      <c r="B5" s="268"/>
      <c r="C5" s="268"/>
      <c r="D5" s="268"/>
      <c r="E5" s="268"/>
      <c r="F5" s="268"/>
      <c r="G5" s="268"/>
      <c r="H5" s="268"/>
      <c r="I5" s="268"/>
    </row>
    <row r="6" spans="1:9" ht="18.75" customHeight="1" x14ac:dyDescent="0.25">
      <c r="A6" s="268"/>
      <c r="B6" s="268"/>
      <c r="C6" s="268"/>
      <c r="D6" s="268"/>
      <c r="E6" s="268"/>
      <c r="F6" s="268"/>
      <c r="G6" s="268"/>
      <c r="H6" s="268"/>
      <c r="I6" s="268"/>
    </row>
    <row r="7" spans="1:9" ht="18.75" customHeight="1" x14ac:dyDescent="0.25">
      <c r="A7" s="268"/>
      <c r="B7" s="268"/>
      <c r="C7" s="268"/>
      <c r="D7" s="268"/>
      <c r="E7" s="268"/>
      <c r="F7" s="268"/>
      <c r="G7" s="268"/>
      <c r="H7" s="268"/>
      <c r="I7" s="268"/>
    </row>
    <row r="8" spans="1:9" x14ac:dyDescent="0.25">
      <c r="A8" s="269" t="s">
        <v>41</v>
      </c>
      <c r="B8" s="269"/>
      <c r="C8" s="269"/>
      <c r="D8" s="269"/>
      <c r="E8" s="269"/>
      <c r="F8" s="269"/>
      <c r="G8" s="269"/>
      <c r="H8" s="269"/>
      <c r="I8" s="269"/>
    </row>
    <row r="9" spans="1:9" x14ac:dyDescent="0.25">
      <c r="A9" s="269"/>
      <c r="B9" s="269"/>
      <c r="C9" s="269"/>
      <c r="D9" s="269"/>
      <c r="E9" s="269"/>
      <c r="F9" s="269"/>
      <c r="G9" s="269"/>
      <c r="H9" s="269"/>
      <c r="I9" s="269"/>
    </row>
    <row r="10" spans="1:9" x14ac:dyDescent="0.25">
      <c r="A10" s="269"/>
      <c r="B10" s="269"/>
      <c r="C10" s="269"/>
      <c r="D10" s="269"/>
      <c r="E10" s="269"/>
      <c r="F10" s="269"/>
      <c r="G10" s="269"/>
      <c r="H10" s="269"/>
      <c r="I10" s="269"/>
    </row>
    <row r="11" spans="1:9" x14ac:dyDescent="0.25">
      <c r="A11" s="269"/>
      <c r="B11" s="269"/>
      <c r="C11" s="269"/>
      <c r="D11" s="269"/>
      <c r="E11" s="269"/>
      <c r="F11" s="269"/>
      <c r="G11" s="269"/>
      <c r="H11" s="269"/>
      <c r="I11" s="269"/>
    </row>
    <row r="12" spans="1:9" x14ac:dyDescent="0.25">
      <c r="A12" s="269"/>
      <c r="B12" s="269"/>
      <c r="C12" s="269"/>
      <c r="D12" s="269"/>
      <c r="E12" s="269"/>
      <c r="F12" s="269"/>
      <c r="G12" s="269"/>
      <c r="H12" s="269"/>
      <c r="I12" s="269"/>
    </row>
    <row r="13" spans="1:9" x14ac:dyDescent="0.25">
      <c r="A13" s="269"/>
      <c r="B13" s="269"/>
      <c r="C13" s="269"/>
      <c r="D13" s="269"/>
      <c r="E13" s="269"/>
      <c r="F13" s="269"/>
      <c r="G13" s="269"/>
      <c r="H13" s="269"/>
      <c r="I13" s="269"/>
    </row>
    <row r="14" spans="1:9" x14ac:dyDescent="0.25">
      <c r="A14" s="269"/>
      <c r="B14" s="269"/>
      <c r="C14" s="269"/>
      <c r="D14" s="269"/>
      <c r="E14" s="269"/>
      <c r="F14" s="269"/>
      <c r="G14" s="269"/>
      <c r="H14" s="269"/>
      <c r="I14" s="269"/>
    </row>
    <row r="15" spans="1:9" ht="19.5" customHeight="1" thickBot="1" x14ac:dyDescent="0.35">
      <c r="A15" s="93"/>
    </row>
    <row r="16" spans="1:9" ht="19.5" customHeight="1" thickBot="1" x14ac:dyDescent="0.35">
      <c r="A16" s="270" t="s">
        <v>26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42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94" t="s">
        <v>28</v>
      </c>
      <c r="B18" s="274" t="s">
        <v>112</v>
      </c>
      <c r="C18" s="274"/>
      <c r="D18" s="95"/>
      <c r="E18" s="96"/>
      <c r="F18" s="97"/>
      <c r="G18" s="97"/>
      <c r="H18" s="97"/>
    </row>
    <row r="19" spans="1:14" ht="26.25" customHeight="1" x14ac:dyDescent="0.4">
      <c r="A19" s="94" t="s">
        <v>29</v>
      </c>
      <c r="B19" s="98" t="s">
        <v>133</v>
      </c>
      <c r="C19" s="97">
        <v>29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30</v>
      </c>
      <c r="B20" s="275" t="s">
        <v>113</v>
      </c>
      <c r="C20" s="275"/>
      <c r="D20" s="97"/>
      <c r="E20" s="97"/>
      <c r="F20" s="97"/>
      <c r="G20" s="97"/>
      <c r="H20" s="97"/>
    </row>
    <row r="21" spans="1:14" ht="26.25" customHeight="1" x14ac:dyDescent="0.4">
      <c r="A21" s="94" t="s">
        <v>31</v>
      </c>
      <c r="B21" s="275" t="s">
        <v>114</v>
      </c>
      <c r="C21" s="275"/>
      <c r="D21" s="275"/>
      <c r="E21" s="275"/>
      <c r="F21" s="275"/>
      <c r="G21" s="275"/>
      <c r="H21" s="275"/>
      <c r="I21" s="99"/>
    </row>
    <row r="22" spans="1:14" ht="26.25" customHeight="1" x14ac:dyDescent="0.4">
      <c r="A22" s="94" t="s">
        <v>32</v>
      </c>
      <c r="B22" s="100">
        <v>42466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33</v>
      </c>
      <c r="B23" s="100">
        <v>42487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3</v>
      </c>
      <c r="B26" s="304" t="s">
        <v>110</v>
      </c>
      <c r="C26" s="274"/>
    </row>
    <row r="27" spans="1:14" ht="26.25" customHeight="1" x14ac:dyDescent="0.4">
      <c r="A27" s="104" t="s">
        <v>43</v>
      </c>
      <c r="B27" s="305" t="s">
        <v>135</v>
      </c>
      <c r="C27" s="276"/>
    </row>
    <row r="28" spans="1:14" ht="27" customHeight="1" thickBot="1" x14ac:dyDescent="0.45">
      <c r="A28" s="104" t="s">
        <v>5</v>
      </c>
      <c r="B28" s="105">
        <v>99.66</v>
      </c>
    </row>
    <row r="29" spans="1:14" s="60" customFormat="1" ht="27" customHeight="1" thickBot="1" x14ac:dyDescent="0.45">
      <c r="A29" s="104" t="s">
        <v>44</v>
      </c>
      <c r="B29" s="106">
        <v>0</v>
      </c>
      <c r="C29" s="277" t="s">
        <v>45</v>
      </c>
      <c r="D29" s="278"/>
      <c r="E29" s="278"/>
      <c r="F29" s="278"/>
      <c r="G29" s="279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46</v>
      </c>
      <c r="B30" s="108">
        <f>B28-B29</f>
        <v>99.66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47</v>
      </c>
      <c r="B31" s="111">
        <v>1</v>
      </c>
      <c r="C31" s="265" t="s">
        <v>48</v>
      </c>
      <c r="D31" s="266"/>
      <c r="E31" s="266"/>
      <c r="F31" s="266"/>
      <c r="G31" s="266"/>
      <c r="H31" s="267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49</v>
      </c>
      <c r="B32" s="111">
        <v>1</v>
      </c>
      <c r="C32" s="265" t="s">
        <v>50</v>
      </c>
      <c r="D32" s="266"/>
      <c r="E32" s="266"/>
      <c r="F32" s="266"/>
      <c r="G32" s="266"/>
      <c r="H32" s="267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51</v>
      </c>
      <c r="B34" s="116">
        <f>B31/B32</f>
        <v>1</v>
      </c>
      <c r="C34" s="93" t="s">
        <v>52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53</v>
      </c>
      <c r="B36" s="118">
        <v>100</v>
      </c>
      <c r="C36" s="93"/>
      <c r="D36" s="280" t="s">
        <v>54</v>
      </c>
      <c r="E36" s="281"/>
      <c r="F36" s="280" t="s">
        <v>55</v>
      </c>
      <c r="G36" s="282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116</v>
      </c>
      <c r="B37" s="120">
        <v>3</v>
      </c>
      <c r="C37" s="121" t="s">
        <v>56</v>
      </c>
      <c r="D37" s="122" t="s">
        <v>57</v>
      </c>
      <c r="E37" s="123" t="s">
        <v>58</v>
      </c>
      <c r="F37" s="122" t="s">
        <v>57</v>
      </c>
      <c r="G37" s="124" t="s">
        <v>58</v>
      </c>
      <c r="I37" s="125" t="s">
        <v>59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117</v>
      </c>
      <c r="B38" s="120">
        <v>20</v>
      </c>
      <c r="C38" s="126">
        <v>1</v>
      </c>
      <c r="D38" s="127">
        <v>14292336</v>
      </c>
      <c r="E38" s="128">
        <f>IF(ISBLANK(D38),"-",$D$48/$D$45*D38)</f>
        <v>10441753.429236196</v>
      </c>
      <c r="F38" s="127">
        <v>14337234</v>
      </c>
      <c r="G38" s="129">
        <f>IF(ISBLANK(F38),"-",$D$48/$F$45*F38)</f>
        <v>10619531.736624246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118</v>
      </c>
      <c r="B39" s="120">
        <v>1</v>
      </c>
      <c r="C39" s="131">
        <v>2</v>
      </c>
      <c r="D39" s="132">
        <v>14289902</v>
      </c>
      <c r="E39" s="133">
        <f>IF(ISBLANK(D39),"-",$D$48/$D$45*D39)</f>
        <v>10439975.187537516</v>
      </c>
      <c r="F39" s="132">
        <v>14295206</v>
      </c>
      <c r="G39" s="134">
        <f>IF(ISBLANK(F39),"-",$D$48/$F$45*F39)</f>
        <v>10588401.765541481</v>
      </c>
      <c r="I39" s="283">
        <f>ABS((F43/D43*D42)-F42)/D42</f>
        <v>1.4974411314163256E-2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119</v>
      </c>
      <c r="B40" s="120">
        <v>1</v>
      </c>
      <c r="C40" s="131">
        <v>3</v>
      </c>
      <c r="D40" s="132">
        <v>14284707</v>
      </c>
      <c r="E40" s="133">
        <f>IF(ISBLANK(D40),"-",$D$48/$D$45*D40)</f>
        <v>10436179.803139551</v>
      </c>
      <c r="F40" s="132">
        <v>14291198</v>
      </c>
      <c r="G40" s="134">
        <f>IF(ISBLANK(F40),"-",$D$48/$F$45*F40)</f>
        <v>10585433.056012128</v>
      </c>
      <c r="I40" s="283"/>
      <c r="L40" s="112"/>
      <c r="M40" s="112"/>
      <c r="N40" s="93"/>
    </row>
    <row r="41" spans="1:14" ht="27" customHeight="1" thickBot="1" x14ac:dyDescent="0.45">
      <c r="A41" s="119" t="s">
        <v>120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121</v>
      </c>
      <c r="B42" s="120">
        <v>1</v>
      </c>
      <c r="C42" s="140" t="s">
        <v>60</v>
      </c>
      <c r="D42" s="141">
        <f>AVERAGE(D38:D41)</f>
        <v>14288981.666666666</v>
      </c>
      <c r="E42" s="142">
        <f>AVERAGE(E38:E41)</f>
        <v>10439302.806637755</v>
      </c>
      <c r="F42" s="141">
        <f>AVERAGE(F38:F41)</f>
        <v>14307879.333333334</v>
      </c>
      <c r="G42" s="143">
        <f>AVERAGE(G38:G41)</f>
        <v>10597788.852725951</v>
      </c>
      <c r="H42" s="144"/>
    </row>
    <row r="43" spans="1:14" ht="26.25" customHeight="1" x14ac:dyDescent="0.4">
      <c r="A43" s="119" t="s">
        <v>122</v>
      </c>
      <c r="B43" s="120">
        <v>1</v>
      </c>
      <c r="C43" s="145" t="s">
        <v>61</v>
      </c>
      <c r="D43" s="146">
        <v>29.3</v>
      </c>
      <c r="E43" s="93"/>
      <c r="F43" s="146">
        <v>28.9</v>
      </c>
      <c r="H43" s="144"/>
    </row>
    <row r="44" spans="1:14" ht="26.25" customHeight="1" x14ac:dyDescent="0.4">
      <c r="A44" s="119" t="s">
        <v>123</v>
      </c>
      <c r="B44" s="120">
        <v>1</v>
      </c>
      <c r="C44" s="147" t="s">
        <v>62</v>
      </c>
      <c r="D44" s="148">
        <f>D43*$B$34</f>
        <v>29.3</v>
      </c>
      <c r="E44" s="149"/>
      <c r="F44" s="148">
        <f>F43*$B$34</f>
        <v>28.9</v>
      </c>
      <c r="H44" s="144"/>
    </row>
    <row r="45" spans="1:14" ht="19.5" customHeight="1" thickBot="1" x14ac:dyDescent="0.35">
      <c r="A45" s="119" t="s">
        <v>63</v>
      </c>
      <c r="B45" s="131">
        <f>(B44/B43)*(B42/B41)*(B40/B39)*(B38/B37)*B36</f>
        <v>666.66666666666674</v>
      </c>
      <c r="C45" s="147" t="s">
        <v>64</v>
      </c>
      <c r="D45" s="150">
        <f>D44*$B$30/100</f>
        <v>29.200379999999999</v>
      </c>
      <c r="E45" s="151"/>
      <c r="F45" s="150">
        <f>F44*$B$30/100</f>
        <v>28.801739999999999</v>
      </c>
      <c r="H45" s="144"/>
    </row>
    <row r="46" spans="1:14" ht="19.5" customHeight="1" thickBot="1" x14ac:dyDescent="0.35">
      <c r="A46" s="284" t="s">
        <v>65</v>
      </c>
      <c r="B46" s="285"/>
      <c r="C46" s="147" t="s">
        <v>66</v>
      </c>
      <c r="D46" s="152">
        <f>D45/$B$45</f>
        <v>4.3800569999999997E-2</v>
      </c>
      <c r="E46" s="153"/>
      <c r="F46" s="154">
        <f>F45/$B$45</f>
        <v>4.3202609999999995E-2</v>
      </c>
      <c r="H46" s="144"/>
    </row>
    <row r="47" spans="1:14" ht="27" customHeight="1" thickBot="1" x14ac:dyDescent="0.45">
      <c r="A47" s="286"/>
      <c r="B47" s="287"/>
      <c r="C47" s="155" t="s">
        <v>67</v>
      </c>
      <c r="D47" s="156">
        <v>3.2000000000000001E-2</v>
      </c>
      <c r="E47" s="157"/>
      <c r="F47" s="153"/>
      <c r="H47" s="144"/>
    </row>
    <row r="48" spans="1:14" ht="18.75" x14ac:dyDescent="0.3">
      <c r="C48" s="158" t="s">
        <v>68</v>
      </c>
      <c r="D48" s="150">
        <f>D47*$B$45</f>
        <v>21.333333333333336</v>
      </c>
      <c r="F48" s="159"/>
      <c r="H48" s="144"/>
    </row>
    <row r="49" spans="1:12" ht="19.5" customHeight="1" thickBot="1" x14ac:dyDescent="0.35">
      <c r="C49" s="160" t="s">
        <v>69</v>
      </c>
      <c r="D49" s="161">
        <f>D48/B34</f>
        <v>21.333333333333336</v>
      </c>
      <c r="F49" s="159"/>
      <c r="H49" s="144"/>
    </row>
    <row r="50" spans="1:12" ht="18.75" x14ac:dyDescent="0.3">
      <c r="C50" s="117" t="s">
        <v>70</v>
      </c>
      <c r="D50" s="162">
        <f>AVERAGE(E38:E41,G38:G41)</f>
        <v>10518545.829681853</v>
      </c>
      <c r="F50" s="163"/>
      <c r="H50" s="144"/>
    </row>
    <row r="51" spans="1:12" ht="18.75" x14ac:dyDescent="0.3">
      <c r="C51" s="119" t="s">
        <v>71</v>
      </c>
      <c r="D51" s="164">
        <f>STDEV(E38:E41,G38:G41)/D50</f>
        <v>8.3322364793034665E-3</v>
      </c>
      <c r="F51" s="163"/>
      <c r="H51" s="144"/>
    </row>
    <row r="52" spans="1:12" ht="19.5" customHeight="1" thickBot="1" x14ac:dyDescent="0.35">
      <c r="C52" s="165" t="s">
        <v>19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72</v>
      </c>
    </row>
    <row r="55" spans="1:12" ht="18.75" x14ac:dyDescent="0.3">
      <c r="A55" s="93" t="s">
        <v>73</v>
      </c>
      <c r="B55" s="169" t="str">
        <f>B21</f>
        <v>Each tablet contains: Sulphamethoxazole B.P. 800 mg and Trimethoprim B.P. 160 mg.</v>
      </c>
    </row>
    <row r="56" spans="1:12" ht="26.25" customHeight="1" x14ac:dyDescent="0.4">
      <c r="A56" s="169" t="s">
        <v>74</v>
      </c>
      <c r="B56" s="170">
        <v>160</v>
      </c>
      <c r="C56" s="93" t="str">
        <f>B20</f>
        <v>each tablets contains sulphamethoxazole 800mg Trimethoprim 160mg.</v>
      </c>
      <c r="H56" s="149"/>
    </row>
    <row r="57" spans="1:12" ht="18.75" x14ac:dyDescent="0.3">
      <c r="A57" s="169" t="s">
        <v>75</v>
      </c>
      <c r="B57" s="171">
        <f>Uniformity!C46</f>
        <v>1039.4640000000002</v>
      </c>
      <c r="H57" s="149"/>
    </row>
    <row r="58" spans="1:12" ht="19.5" customHeight="1" thickBot="1" x14ac:dyDescent="0.35">
      <c r="H58" s="149"/>
    </row>
    <row r="59" spans="1:12" s="60" customFormat="1" ht="27" customHeight="1" thickBot="1" x14ac:dyDescent="0.45">
      <c r="A59" s="117" t="s">
        <v>76</v>
      </c>
      <c r="B59" s="118">
        <v>200</v>
      </c>
      <c r="C59" s="93"/>
      <c r="D59" s="172" t="s">
        <v>77</v>
      </c>
      <c r="E59" s="173" t="s">
        <v>56</v>
      </c>
      <c r="F59" s="173" t="s">
        <v>57</v>
      </c>
      <c r="G59" s="173" t="s">
        <v>78</v>
      </c>
      <c r="H59" s="121" t="s">
        <v>79</v>
      </c>
      <c r="L59" s="107"/>
    </row>
    <row r="60" spans="1:12" s="60" customFormat="1" ht="26.25" customHeight="1" x14ac:dyDescent="0.4">
      <c r="A60" s="119" t="s">
        <v>124</v>
      </c>
      <c r="B60" s="120">
        <v>2</v>
      </c>
      <c r="C60" s="288" t="s">
        <v>80</v>
      </c>
      <c r="D60" s="291">
        <f>Sulfamethoxazole!D60</f>
        <v>1042.42</v>
      </c>
      <c r="E60" s="174">
        <v>1</v>
      </c>
      <c r="F60" s="175">
        <v>10634693</v>
      </c>
      <c r="G60" s="176">
        <f>IF(ISBLANK(F60),"-",(F60/$D$50*$D$47*$B$68)*($B$57/$D$60))</f>
        <v>161.30801766359272</v>
      </c>
      <c r="H60" s="177">
        <f t="shared" ref="H60:H71" si="0">IF(ISBLANK(F60),"-",G60/$B$56)</f>
        <v>1.0081751103974546</v>
      </c>
      <c r="L60" s="107"/>
    </row>
    <row r="61" spans="1:12" s="60" customFormat="1" ht="26.25" customHeight="1" x14ac:dyDescent="0.4">
      <c r="A61" s="119" t="s">
        <v>125</v>
      </c>
      <c r="B61" s="120">
        <v>50</v>
      </c>
      <c r="C61" s="289"/>
      <c r="D61" s="292"/>
      <c r="E61" s="178">
        <v>2</v>
      </c>
      <c r="F61" s="132">
        <v>10613966</v>
      </c>
      <c r="G61" s="179">
        <f>IF(ISBLANK(F61),"-",(F61/$D$50*$D$47*$B$68)*($B$57/$D$60))</f>
        <v>160.9936285898213</v>
      </c>
      <c r="H61" s="180">
        <f t="shared" si="0"/>
        <v>1.0062101786863831</v>
      </c>
      <c r="L61" s="107"/>
    </row>
    <row r="62" spans="1:12" s="60" customFormat="1" ht="26.25" customHeight="1" x14ac:dyDescent="0.4">
      <c r="A62" s="119" t="s">
        <v>126</v>
      </c>
      <c r="B62" s="120">
        <v>1</v>
      </c>
      <c r="C62" s="289"/>
      <c r="D62" s="292"/>
      <c r="E62" s="178">
        <v>3</v>
      </c>
      <c r="F62" s="181">
        <v>10606583</v>
      </c>
      <c r="G62" s="179">
        <f>IF(ISBLANK(F62),"-",(F62/$D$50*$D$47*$B$68)*($B$57/$D$60))</f>
        <v>160.88164255558317</v>
      </c>
      <c r="H62" s="180">
        <f t="shared" si="0"/>
        <v>1.0055102659723949</v>
      </c>
      <c r="L62" s="107"/>
    </row>
    <row r="63" spans="1:12" ht="27" customHeight="1" thickBot="1" x14ac:dyDescent="0.45">
      <c r="A63" s="119" t="s">
        <v>127</v>
      </c>
      <c r="B63" s="120">
        <v>1</v>
      </c>
      <c r="C63" s="290"/>
      <c r="D63" s="293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19" t="s">
        <v>128</v>
      </c>
      <c r="B64" s="120">
        <v>1</v>
      </c>
      <c r="C64" s="288" t="s">
        <v>81</v>
      </c>
      <c r="D64" s="291">
        <f>Sulfamethoxazole!D64</f>
        <v>1043.68</v>
      </c>
      <c r="E64" s="174">
        <v>1</v>
      </c>
      <c r="F64" s="175">
        <v>10566415</v>
      </c>
      <c r="G64" s="184">
        <f>IF(ISBLANK(F64),"-",(F64/$D$50*$D$47*$B$68)*($B$57/$D$64))</f>
        <v>160.07887909715055</v>
      </c>
      <c r="H64" s="185">
        <f t="shared" si="0"/>
        <v>1.000492994357191</v>
      </c>
    </row>
    <row r="65" spans="1:8" ht="26.25" customHeight="1" x14ac:dyDescent="0.4">
      <c r="A65" s="119" t="s">
        <v>129</v>
      </c>
      <c r="B65" s="120">
        <v>1</v>
      </c>
      <c r="C65" s="289"/>
      <c r="D65" s="292"/>
      <c r="E65" s="178">
        <v>2</v>
      </c>
      <c r="F65" s="132">
        <v>10521118</v>
      </c>
      <c r="G65" s="186">
        <f>IF(ISBLANK(F65),"-",(F65/$D$50*$D$47*$B$68)*($B$57/$D$64))</f>
        <v>159.39263944193507</v>
      </c>
      <c r="H65" s="187">
        <f t="shared" si="0"/>
        <v>0.99620399651209424</v>
      </c>
    </row>
    <row r="66" spans="1:8" ht="26.25" customHeight="1" x14ac:dyDescent="0.4">
      <c r="A66" s="119" t="s">
        <v>130</v>
      </c>
      <c r="B66" s="120">
        <v>1</v>
      </c>
      <c r="C66" s="289"/>
      <c r="D66" s="292"/>
      <c r="E66" s="178">
        <v>3</v>
      </c>
      <c r="F66" s="132">
        <v>10515832</v>
      </c>
      <c r="G66" s="186">
        <f>IF(ISBLANK(F66),"-",(F66/$D$50*$D$47*$B$68)*($B$57/$D$64))</f>
        <v>159.3125576966215</v>
      </c>
      <c r="H66" s="187">
        <f t="shared" si="0"/>
        <v>0.99570348560388433</v>
      </c>
    </row>
    <row r="67" spans="1:8" ht="27" customHeight="1" thickBot="1" x14ac:dyDescent="0.45">
      <c r="A67" s="119" t="s">
        <v>131</v>
      </c>
      <c r="B67" s="120">
        <v>1</v>
      </c>
      <c r="C67" s="290"/>
      <c r="D67" s="293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19" t="s">
        <v>82</v>
      </c>
      <c r="B68" s="190">
        <f>(B67/B66)*(B65/B64)*(B63/B62)*(B61/B60)*B59</f>
        <v>5000</v>
      </c>
      <c r="C68" s="288" t="s">
        <v>83</v>
      </c>
      <c r="D68" s="291">
        <f>Sulfamethoxazole!D68</f>
        <v>1047.5</v>
      </c>
      <c r="E68" s="174">
        <v>1</v>
      </c>
      <c r="F68" s="175">
        <v>10499968</v>
      </c>
      <c r="G68" s="184">
        <f>IF(ISBLANK(F68),"-",(F68/$D$50*$D$47*$B$68)*($B$57/$D$68))</f>
        <v>158.4921204771544</v>
      </c>
      <c r="H68" s="180">
        <f t="shared" si="0"/>
        <v>0.99057575298221501</v>
      </c>
    </row>
    <row r="69" spans="1:8" ht="27" customHeight="1" thickBot="1" x14ac:dyDescent="0.45">
      <c r="A69" s="165" t="s">
        <v>84</v>
      </c>
      <c r="B69" s="191">
        <f>(D47*B68)/B56*B57</f>
        <v>1039.4640000000002</v>
      </c>
      <c r="C69" s="289"/>
      <c r="D69" s="292"/>
      <c r="E69" s="178">
        <v>2</v>
      </c>
      <c r="F69" s="132">
        <v>10512269</v>
      </c>
      <c r="G69" s="186">
        <f>IF(ISBLANK(F69),"-",(F69/$D$50*$D$47*$B$68)*($B$57/$D$68))</f>
        <v>158.67779833579067</v>
      </c>
      <c r="H69" s="180">
        <f t="shared" si="0"/>
        <v>0.99173623959869173</v>
      </c>
    </row>
    <row r="70" spans="1:8" ht="26.25" customHeight="1" x14ac:dyDescent="0.4">
      <c r="A70" s="296" t="s">
        <v>65</v>
      </c>
      <c r="B70" s="297"/>
      <c r="C70" s="289"/>
      <c r="D70" s="292"/>
      <c r="E70" s="178">
        <v>3</v>
      </c>
      <c r="F70" s="132">
        <v>10496477</v>
      </c>
      <c r="G70" s="186">
        <f>IF(ISBLANK(F70),"-",(F70/$D$50*$D$47*$B$68)*($B$57/$D$68))</f>
        <v>158.43942546012332</v>
      </c>
      <c r="H70" s="180">
        <f t="shared" si="0"/>
        <v>0.99024640912577078</v>
      </c>
    </row>
    <row r="71" spans="1:8" ht="27" customHeight="1" thickBot="1" x14ac:dyDescent="0.45">
      <c r="A71" s="298"/>
      <c r="B71" s="299"/>
      <c r="C71" s="294"/>
      <c r="D71" s="293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60</v>
      </c>
      <c r="G72" s="194">
        <f>AVERAGE(G60:G71)</f>
        <v>159.73074547975253</v>
      </c>
      <c r="H72" s="195">
        <f>AVERAGE(H60:H71)</f>
        <v>0.99831715924845332</v>
      </c>
    </row>
    <row r="73" spans="1:8" ht="26.25" customHeight="1" x14ac:dyDescent="0.4">
      <c r="C73" s="149"/>
      <c r="D73" s="149"/>
      <c r="E73" s="149"/>
      <c r="F73" s="196" t="s">
        <v>71</v>
      </c>
      <c r="G73" s="197">
        <f>STDEV(G60:G71)/G72</f>
        <v>7.0441513567188309E-3</v>
      </c>
      <c r="H73" s="197">
        <f>STDEV(H60:H71)/H72</f>
        <v>7.0441513567188353E-3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19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3" t="s">
        <v>85</v>
      </c>
      <c r="B76" s="104" t="s">
        <v>86</v>
      </c>
      <c r="C76" s="300" t="str">
        <f>B20</f>
        <v>each tablets contains sulphamethoxazole 800mg Trimethoprim 160mg.</v>
      </c>
      <c r="D76" s="300"/>
      <c r="E76" s="93" t="s">
        <v>87</v>
      </c>
      <c r="F76" s="93"/>
      <c r="G76" s="200">
        <f>H72</f>
        <v>0.99831715924845332</v>
      </c>
      <c r="H76" s="108"/>
    </row>
    <row r="77" spans="1:8" ht="18.75" x14ac:dyDescent="0.3">
      <c r="A77" s="102" t="s">
        <v>88</v>
      </c>
      <c r="B77" s="102" t="s">
        <v>89</v>
      </c>
    </row>
    <row r="78" spans="1:8" ht="18.75" x14ac:dyDescent="0.3">
      <c r="A78" s="102"/>
      <c r="B78" s="102"/>
    </row>
    <row r="79" spans="1:8" ht="26.25" customHeight="1" x14ac:dyDescent="0.4">
      <c r="A79" s="103" t="s">
        <v>3</v>
      </c>
      <c r="B79" s="295" t="str">
        <f>B26</f>
        <v>Trimethoprim</v>
      </c>
      <c r="C79" s="295"/>
    </row>
    <row r="80" spans="1:8" ht="26.25" customHeight="1" x14ac:dyDescent="0.4">
      <c r="A80" s="104" t="s">
        <v>43</v>
      </c>
      <c r="B80" s="295" t="str">
        <f>B27</f>
        <v>T7-2</v>
      </c>
      <c r="C80" s="295"/>
    </row>
    <row r="81" spans="1:12" ht="27" customHeight="1" thickBot="1" x14ac:dyDescent="0.45">
      <c r="A81" s="104" t="s">
        <v>5</v>
      </c>
      <c r="B81" s="105">
        <f>B28</f>
        <v>99.66</v>
      </c>
    </row>
    <row r="82" spans="1:12" s="60" customFormat="1" ht="27" customHeight="1" thickBot="1" x14ac:dyDescent="0.45">
      <c r="A82" s="104" t="s">
        <v>44</v>
      </c>
      <c r="B82" s="106">
        <v>0</v>
      </c>
      <c r="C82" s="277" t="s">
        <v>45</v>
      </c>
      <c r="D82" s="278"/>
      <c r="E82" s="278"/>
      <c r="F82" s="278"/>
      <c r="G82" s="279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46</v>
      </c>
      <c r="B83" s="108">
        <f>B81-B82</f>
        <v>99.66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47</v>
      </c>
      <c r="B84" s="111">
        <v>1</v>
      </c>
      <c r="C84" s="265" t="s">
        <v>90</v>
      </c>
      <c r="D84" s="266"/>
      <c r="E84" s="266"/>
      <c r="F84" s="266"/>
      <c r="G84" s="266"/>
      <c r="H84" s="267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49</v>
      </c>
      <c r="B85" s="111">
        <v>1</v>
      </c>
      <c r="C85" s="265" t="s">
        <v>91</v>
      </c>
      <c r="D85" s="266"/>
      <c r="E85" s="266"/>
      <c r="F85" s="266"/>
      <c r="G85" s="266"/>
      <c r="H85" s="267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51</v>
      </c>
      <c r="B87" s="116">
        <f>B84/B85</f>
        <v>1</v>
      </c>
      <c r="C87" s="93" t="s">
        <v>52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53</v>
      </c>
      <c r="B89" s="118">
        <v>100</v>
      </c>
      <c r="D89" s="201" t="s">
        <v>54</v>
      </c>
      <c r="E89" s="202"/>
      <c r="F89" s="280" t="s">
        <v>55</v>
      </c>
      <c r="G89" s="282"/>
    </row>
    <row r="90" spans="1:12" ht="27" customHeight="1" thickBot="1" x14ac:dyDescent="0.45">
      <c r="A90" s="119" t="s">
        <v>116</v>
      </c>
      <c r="B90" s="120">
        <v>3</v>
      </c>
      <c r="C90" s="203" t="s">
        <v>56</v>
      </c>
      <c r="D90" s="122" t="s">
        <v>57</v>
      </c>
      <c r="E90" s="123" t="s">
        <v>58</v>
      </c>
      <c r="F90" s="122" t="s">
        <v>57</v>
      </c>
      <c r="G90" s="204" t="s">
        <v>58</v>
      </c>
      <c r="I90" s="125" t="s">
        <v>59</v>
      </c>
    </row>
    <row r="91" spans="1:12" ht="26.25" customHeight="1" x14ac:dyDescent="0.4">
      <c r="A91" s="119" t="s">
        <v>117</v>
      </c>
      <c r="B91" s="120">
        <v>20</v>
      </c>
      <c r="C91" s="205">
        <v>1</v>
      </c>
      <c r="D91" s="127">
        <v>14292336</v>
      </c>
      <c r="E91" s="128">
        <f>IF(ISBLANK(D91),"-",$D$101/$D$98*D91)</f>
        <v>11601948.254706886</v>
      </c>
      <c r="F91" s="127">
        <v>14337234</v>
      </c>
      <c r="G91" s="129">
        <f>IF(ISBLANK(F91),"-",$D$101/$F$98*F91)</f>
        <v>11799479.707360275</v>
      </c>
      <c r="I91" s="130"/>
    </row>
    <row r="92" spans="1:12" ht="26.25" customHeight="1" x14ac:dyDescent="0.4">
      <c r="A92" s="119" t="s">
        <v>118</v>
      </c>
      <c r="B92" s="120">
        <v>1</v>
      </c>
      <c r="C92" s="149">
        <v>2</v>
      </c>
      <c r="D92" s="132">
        <v>14289902</v>
      </c>
      <c r="E92" s="133">
        <f>IF(ISBLANK(D92),"-",$D$101/$D$98*D92)</f>
        <v>11599972.43059724</v>
      </c>
      <c r="F92" s="132">
        <v>14295206</v>
      </c>
      <c r="G92" s="134">
        <f>IF(ISBLANK(F92),"-",$D$101/$F$98*F92)</f>
        <v>11764890.850601645</v>
      </c>
      <c r="I92" s="283">
        <f>ABS((F96/D96*D95)-F95)/D95</f>
        <v>1.4974411314163256E-2</v>
      </c>
    </row>
    <row r="93" spans="1:12" ht="26.25" customHeight="1" x14ac:dyDescent="0.4">
      <c r="A93" s="119" t="s">
        <v>119</v>
      </c>
      <c r="B93" s="120">
        <v>1</v>
      </c>
      <c r="C93" s="149">
        <v>3</v>
      </c>
      <c r="D93" s="132">
        <v>14284707</v>
      </c>
      <c r="E93" s="133">
        <f>IF(ISBLANK(D93),"-",$D$101/$D$98*D93)</f>
        <v>11595755.336821722</v>
      </c>
      <c r="F93" s="132">
        <v>14291198</v>
      </c>
      <c r="G93" s="134">
        <f>IF(ISBLANK(F93),"-",$D$101/$F$98*F93)</f>
        <v>11761592.284457918</v>
      </c>
      <c r="I93" s="283"/>
    </row>
    <row r="94" spans="1:12" ht="27" customHeight="1" thickBot="1" x14ac:dyDescent="0.45">
      <c r="A94" s="119" t="s">
        <v>120</v>
      </c>
      <c r="B94" s="120">
        <v>1</v>
      </c>
      <c r="C94" s="206">
        <v>4</v>
      </c>
      <c r="D94" s="136"/>
      <c r="E94" s="137" t="str">
        <f>IF(ISBLANK(D94),"-",$D$101/$D$98*D94)</f>
        <v>-</v>
      </c>
      <c r="F94" s="136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121</v>
      </c>
      <c r="B95" s="120">
        <v>1</v>
      </c>
      <c r="C95" s="104" t="s">
        <v>60</v>
      </c>
      <c r="D95" s="207">
        <f>AVERAGE(D91:D94)</f>
        <v>14288981.666666666</v>
      </c>
      <c r="E95" s="142">
        <f>AVERAGE(E91:E94)</f>
        <v>11599225.340708615</v>
      </c>
      <c r="F95" s="208">
        <f>AVERAGE(F91:F94)</f>
        <v>14307879.333333334</v>
      </c>
      <c r="G95" s="209">
        <f>AVERAGE(G91:G94)</f>
        <v>11775320.947473278</v>
      </c>
    </row>
    <row r="96" spans="1:12" ht="26.25" customHeight="1" x14ac:dyDescent="0.4">
      <c r="A96" s="119" t="s">
        <v>122</v>
      </c>
      <c r="B96" s="105">
        <v>1</v>
      </c>
      <c r="C96" s="210" t="s">
        <v>92</v>
      </c>
      <c r="D96" s="211">
        <f>D43</f>
        <v>29.3</v>
      </c>
      <c r="E96" s="93"/>
      <c r="F96" s="146">
        <f>F43</f>
        <v>28.9</v>
      </c>
    </row>
    <row r="97" spans="1:10" ht="26.25" customHeight="1" x14ac:dyDescent="0.4">
      <c r="A97" s="119" t="s">
        <v>123</v>
      </c>
      <c r="B97" s="105">
        <v>1</v>
      </c>
      <c r="C97" s="212" t="s">
        <v>93</v>
      </c>
      <c r="D97" s="213">
        <f>D96*$B$87</f>
        <v>29.3</v>
      </c>
      <c r="E97" s="149"/>
      <c r="F97" s="148">
        <f>F96*$B$87</f>
        <v>28.9</v>
      </c>
    </row>
    <row r="98" spans="1:10" ht="19.5" customHeight="1" thickBot="1" x14ac:dyDescent="0.35">
      <c r="A98" s="119" t="s">
        <v>63</v>
      </c>
      <c r="B98" s="149">
        <f>(B97/B96)*(B95/B94)*(B93/B92)*(B91/B90)*B89</f>
        <v>666.66666666666674</v>
      </c>
      <c r="C98" s="212" t="s">
        <v>94</v>
      </c>
      <c r="D98" s="214">
        <f>D97*$B$83/100</f>
        <v>29.200379999999999</v>
      </c>
      <c r="E98" s="151"/>
      <c r="F98" s="150">
        <f>F97*$B$83/100</f>
        <v>28.801739999999999</v>
      </c>
    </row>
    <row r="99" spans="1:10" ht="19.5" customHeight="1" thickBot="1" x14ac:dyDescent="0.35">
      <c r="A99" s="284" t="s">
        <v>65</v>
      </c>
      <c r="B99" s="301"/>
      <c r="C99" s="212" t="s">
        <v>95</v>
      </c>
      <c r="D99" s="215">
        <f>D98/$B$98</f>
        <v>4.3800569999999997E-2</v>
      </c>
      <c r="E99" s="151"/>
      <c r="F99" s="154">
        <f>F98/$B$98</f>
        <v>4.3202609999999995E-2</v>
      </c>
      <c r="H99" s="144"/>
    </row>
    <row r="100" spans="1:10" ht="19.5" customHeight="1" thickBot="1" x14ac:dyDescent="0.35">
      <c r="A100" s="286"/>
      <c r="B100" s="302"/>
      <c r="C100" s="212" t="s">
        <v>67</v>
      </c>
      <c r="D100" s="216">
        <f>$B$56/$B$116</f>
        <v>3.5555555555555556E-2</v>
      </c>
      <c r="F100" s="159"/>
      <c r="G100" s="217"/>
      <c r="H100" s="144"/>
    </row>
    <row r="101" spans="1:10" ht="18.75" x14ac:dyDescent="0.3">
      <c r="C101" s="212" t="s">
        <v>68</v>
      </c>
      <c r="D101" s="213">
        <f>D100*$B$98</f>
        <v>23.703703703703706</v>
      </c>
      <c r="F101" s="159"/>
      <c r="H101" s="144"/>
    </row>
    <row r="102" spans="1:10" ht="19.5" customHeight="1" thickBot="1" x14ac:dyDescent="0.35">
      <c r="C102" s="218" t="s">
        <v>69</v>
      </c>
      <c r="D102" s="219">
        <f>D101/B34</f>
        <v>23.703703703703706</v>
      </c>
      <c r="F102" s="163"/>
      <c r="H102" s="144"/>
      <c r="J102" s="220"/>
    </row>
    <row r="103" spans="1:10" ht="18.75" x14ac:dyDescent="0.3">
      <c r="C103" s="221" t="s">
        <v>96</v>
      </c>
      <c r="D103" s="222">
        <f>AVERAGE(E91:E94,G91:G94)</f>
        <v>11687273.144090949</v>
      </c>
      <c r="F103" s="163"/>
      <c r="G103" s="217"/>
      <c r="H103" s="144"/>
      <c r="J103" s="223"/>
    </row>
    <row r="104" spans="1:10" ht="18.75" x14ac:dyDescent="0.3">
      <c r="C104" s="196" t="s">
        <v>71</v>
      </c>
      <c r="D104" s="224">
        <f>STDEV(E91:E94,G91:G94)/D103</f>
        <v>8.3322364793034596E-3</v>
      </c>
      <c r="F104" s="163"/>
      <c r="H104" s="144"/>
      <c r="J104" s="223"/>
    </row>
    <row r="105" spans="1:10" ht="19.5" customHeight="1" thickBot="1" x14ac:dyDescent="0.35">
      <c r="C105" s="198" t="s">
        <v>19</v>
      </c>
      <c r="D105" s="225">
        <f>COUNT(E91:E94,G91:G94)</f>
        <v>6</v>
      </c>
      <c r="F105" s="163"/>
      <c r="H105" s="144"/>
      <c r="J105" s="223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7" t="s">
        <v>97</v>
      </c>
      <c r="B107" s="118">
        <v>900</v>
      </c>
      <c r="C107" s="201" t="s">
        <v>98</v>
      </c>
      <c r="D107" s="226" t="s">
        <v>57</v>
      </c>
      <c r="E107" s="227" t="s">
        <v>99</v>
      </c>
      <c r="F107" s="228" t="s">
        <v>100</v>
      </c>
    </row>
    <row r="108" spans="1:10" ht="26.25" customHeight="1" x14ac:dyDescent="0.4">
      <c r="A108" s="119" t="s">
        <v>132</v>
      </c>
      <c r="B108" s="120">
        <v>10</v>
      </c>
      <c r="C108" s="229">
        <v>1</v>
      </c>
      <c r="D108" s="230">
        <v>11962419</v>
      </c>
      <c r="E108" s="231">
        <f t="shared" ref="E108:E113" si="1">IF(ISBLANK(D108),"-",D108/$D$103*$D$100*$B$116)</f>
        <v>163.76677573996</v>
      </c>
      <c r="F108" s="232">
        <f t="shared" ref="F108:F113" si="2">IF(ISBLANK(D108), "-", E108/$B$56)</f>
        <v>1.0235423483747499</v>
      </c>
    </row>
    <row r="109" spans="1:10" ht="26.25" customHeight="1" x14ac:dyDescent="0.4">
      <c r="A109" s="119" t="s">
        <v>125</v>
      </c>
      <c r="B109" s="120">
        <v>50</v>
      </c>
      <c r="C109" s="229">
        <v>2</v>
      </c>
      <c r="D109" s="230">
        <v>11913687</v>
      </c>
      <c r="E109" s="233">
        <f t="shared" si="1"/>
        <v>163.0996295285324</v>
      </c>
      <c r="F109" s="234">
        <f t="shared" si="2"/>
        <v>1.0193726845533275</v>
      </c>
    </row>
    <row r="110" spans="1:10" ht="26.25" customHeight="1" x14ac:dyDescent="0.4">
      <c r="A110" s="119" t="s">
        <v>126</v>
      </c>
      <c r="B110" s="120">
        <v>1</v>
      </c>
      <c r="C110" s="229">
        <v>3</v>
      </c>
      <c r="D110" s="230">
        <v>11981625</v>
      </c>
      <c r="E110" s="233">
        <f t="shared" si="1"/>
        <v>164.02970790233132</v>
      </c>
      <c r="F110" s="234">
        <f t="shared" si="2"/>
        <v>1.0251856743895709</v>
      </c>
    </row>
    <row r="111" spans="1:10" ht="26.25" customHeight="1" x14ac:dyDescent="0.4">
      <c r="A111" s="119" t="s">
        <v>127</v>
      </c>
      <c r="B111" s="120">
        <v>1</v>
      </c>
      <c r="C111" s="229">
        <v>4</v>
      </c>
      <c r="D111" s="230">
        <v>11966200</v>
      </c>
      <c r="E111" s="233">
        <f t="shared" si="1"/>
        <v>163.81853802809528</v>
      </c>
      <c r="F111" s="234">
        <f t="shared" si="2"/>
        <v>1.0238658626755954</v>
      </c>
    </row>
    <row r="112" spans="1:10" ht="26.25" customHeight="1" x14ac:dyDescent="0.4">
      <c r="A112" s="119" t="s">
        <v>128</v>
      </c>
      <c r="B112" s="120">
        <v>1</v>
      </c>
      <c r="C112" s="229">
        <v>5</v>
      </c>
      <c r="D112" s="230">
        <v>11929899</v>
      </c>
      <c r="E112" s="233">
        <f t="shared" si="1"/>
        <v>163.3215735156387</v>
      </c>
      <c r="F112" s="234">
        <f t="shared" si="2"/>
        <v>1.020759834472742</v>
      </c>
    </row>
    <row r="113" spans="1:10" ht="26.25" customHeight="1" x14ac:dyDescent="0.4">
      <c r="A113" s="119" t="s">
        <v>129</v>
      </c>
      <c r="B113" s="120">
        <v>1</v>
      </c>
      <c r="C113" s="235">
        <v>6</v>
      </c>
      <c r="D113" s="236">
        <v>11932189</v>
      </c>
      <c r="E113" s="237">
        <f t="shared" si="1"/>
        <v>163.35292385677329</v>
      </c>
      <c r="F113" s="238">
        <f t="shared" si="2"/>
        <v>1.020955774104833</v>
      </c>
    </row>
    <row r="114" spans="1:10" ht="26.25" customHeight="1" x14ac:dyDescent="0.4">
      <c r="A114" s="119" t="s">
        <v>130</v>
      </c>
      <c r="B114" s="120">
        <v>1</v>
      </c>
      <c r="C114" s="229"/>
      <c r="D114" s="149"/>
      <c r="E114" s="93"/>
      <c r="F114" s="239"/>
    </row>
    <row r="115" spans="1:10" ht="26.25" customHeight="1" x14ac:dyDescent="0.4">
      <c r="A115" s="119" t="s">
        <v>131</v>
      </c>
      <c r="B115" s="120">
        <v>1</v>
      </c>
      <c r="C115" s="229"/>
      <c r="D115" s="240" t="s">
        <v>60</v>
      </c>
      <c r="E115" s="241">
        <f>AVERAGE(E108:E113)</f>
        <v>163.56485809522181</v>
      </c>
      <c r="F115" s="242">
        <f>AVERAGE(F108:F113)</f>
        <v>1.0222803630951365</v>
      </c>
    </row>
    <row r="116" spans="1:10" ht="27" customHeight="1" thickBot="1" x14ac:dyDescent="0.45">
      <c r="A116" s="119" t="s">
        <v>82</v>
      </c>
      <c r="B116" s="131">
        <f>(B115/B114)*(B113/B112)*(B111/B110)*(B109/B108)*B107</f>
        <v>4500</v>
      </c>
      <c r="C116" s="243"/>
      <c r="D116" s="104" t="s">
        <v>71</v>
      </c>
      <c r="E116" s="244">
        <f>STDEV(E108:E113)/E115</f>
        <v>2.1903230672925978E-3</v>
      </c>
      <c r="F116" s="244">
        <f>STDEV(F108:F113)/F115</f>
        <v>2.1903230672926026E-3</v>
      </c>
      <c r="I116" s="93"/>
    </row>
    <row r="117" spans="1:10" ht="27" customHeight="1" thickBot="1" x14ac:dyDescent="0.45">
      <c r="A117" s="284" t="s">
        <v>65</v>
      </c>
      <c r="B117" s="285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93"/>
      <c r="J117" s="223"/>
    </row>
    <row r="118" spans="1:10" ht="19.5" customHeight="1" thickBot="1" x14ac:dyDescent="0.35">
      <c r="A118" s="286"/>
      <c r="B118" s="287"/>
      <c r="C118" s="93"/>
      <c r="D118" s="93"/>
      <c r="E118" s="93"/>
      <c r="F118" s="149"/>
      <c r="G118" s="93"/>
      <c r="H118" s="93"/>
      <c r="I118" s="93"/>
    </row>
    <row r="119" spans="1:10" ht="18.75" x14ac:dyDescent="0.3">
      <c r="A119" s="248"/>
      <c r="B119" s="115"/>
      <c r="C119" s="93"/>
      <c r="D119" s="93"/>
      <c r="E119" s="93"/>
      <c r="F119" s="149"/>
      <c r="G119" s="93"/>
      <c r="H119" s="93"/>
      <c r="I119" s="93"/>
    </row>
    <row r="120" spans="1:10" ht="26.25" customHeight="1" x14ac:dyDescent="0.4">
      <c r="A120" s="103" t="s">
        <v>85</v>
      </c>
      <c r="B120" s="104" t="s">
        <v>101</v>
      </c>
      <c r="C120" s="300" t="str">
        <f>B20</f>
        <v>each tablets contains sulphamethoxazole 800mg Trimethoprim 160mg.</v>
      </c>
      <c r="D120" s="300"/>
      <c r="E120" s="93" t="s">
        <v>102</v>
      </c>
      <c r="F120" s="93"/>
      <c r="G120" s="200">
        <f>F115</f>
        <v>1.0222803630951365</v>
      </c>
      <c r="H120" s="93"/>
      <c r="I120" s="93"/>
    </row>
    <row r="121" spans="1:10" ht="19.5" customHeight="1" thickBot="1" x14ac:dyDescent="0.35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303" t="s">
        <v>21</v>
      </c>
      <c r="C122" s="303"/>
      <c r="E122" s="203" t="s">
        <v>22</v>
      </c>
      <c r="F122" s="251"/>
      <c r="G122" s="303" t="s">
        <v>23</v>
      </c>
      <c r="H122" s="303"/>
    </row>
    <row r="123" spans="1:10" ht="69.95" customHeight="1" x14ac:dyDescent="0.3">
      <c r="A123" s="103" t="s">
        <v>24</v>
      </c>
      <c r="B123" s="252"/>
      <c r="C123" s="252"/>
      <c r="E123" s="252"/>
      <c r="F123" s="93"/>
      <c r="G123" s="252"/>
      <c r="H123" s="252"/>
    </row>
    <row r="124" spans="1:10" ht="69.95" customHeight="1" x14ac:dyDescent="0.3">
      <c r="A124" s="103" t="s">
        <v>25</v>
      </c>
      <c r="B124" s="253"/>
      <c r="C124" s="253"/>
      <c r="E124" s="253"/>
      <c r="F124" s="93"/>
      <c r="G124" s="254"/>
      <c r="H124" s="254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3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3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3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3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3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3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3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3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3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2016-04-27T05:28:07Z</cp:lastPrinted>
  <dcterms:created xsi:type="dcterms:W3CDTF">2005-07-05T10:19:27Z</dcterms:created>
  <dcterms:modified xsi:type="dcterms:W3CDTF">2016-05-06T07:06:13Z</dcterms:modified>
</cp:coreProperties>
</file>