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55" windowWidth="15015" windowHeight="7620" activeTab="4"/>
  </bookViews>
  <sheets>
    <sheet name="SST" sheetId="8" r:id="rId1"/>
    <sheet name="SST 2" sheetId="9" r:id="rId2"/>
    <sheet name="ATAZANAVIR " sheetId="5" r:id="rId3"/>
    <sheet name="Uniformity" sheetId="2" r:id="rId4"/>
    <sheet name="RITONAVIR" sheetId="7" r:id="rId5"/>
  </sheets>
  <definedNames>
    <definedName name="_xlnm.Print_Area" localSheetId="2">'ATAZANAVIR '!$A$1:$H$144</definedName>
    <definedName name="_xlnm.Print_Area" localSheetId="4">RITONAVIR!$A$1:$H$145</definedName>
    <definedName name="_xlnm.Print_Area" localSheetId="3">Uniformity!$A$9:$F$54</definedName>
  </definedNames>
  <calcPr calcId="145621"/>
</workbook>
</file>

<file path=xl/calcChain.xml><?xml version="1.0" encoding="utf-8"?>
<calcChain xmlns="http://schemas.openxmlformats.org/spreadsheetml/2006/main">
  <c r="B7" i="9" l="1"/>
  <c r="B15" i="9"/>
  <c r="C15" i="9"/>
  <c r="D15" i="9"/>
  <c r="E15" i="9"/>
  <c r="B16" i="9"/>
  <c r="B17" i="9"/>
  <c r="B27" i="9"/>
  <c r="B35" i="9"/>
  <c r="C35" i="9"/>
  <c r="D35" i="9"/>
  <c r="E35" i="9"/>
  <c r="B36" i="9"/>
  <c r="B37" i="9"/>
  <c r="B30" i="8"/>
  <c r="C30" i="8"/>
  <c r="D30" i="8"/>
  <c r="E30" i="8"/>
  <c r="B31" i="8"/>
  <c r="B32" i="8"/>
  <c r="B51" i="8"/>
  <c r="C51" i="8"/>
  <c r="D51" i="8"/>
  <c r="E51" i="8"/>
  <c r="F51" i="8"/>
  <c r="B52" i="8"/>
  <c r="B53" i="8"/>
  <c r="C138" i="7" l="1"/>
  <c r="B134" i="7"/>
  <c r="C121" i="7"/>
  <c r="B117" i="7"/>
  <c r="D102" i="7"/>
  <c r="B99" i="7"/>
  <c r="F96" i="7"/>
  <c r="D96" i="7"/>
  <c r="G95" i="7"/>
  <c r="E95" i="7"/>
  <c r="B88" i="7"/>
  <c r="F98" i="7" s="1"/>
  <c r="B83" i="7"/>
  <c r="B82" i="7"/>
  <c r="B84" i="7" s="1"/>
  <c r="B81" i="7"/>
  <c r="B80" i="7"/>
  <c r="C76" i="7"/>
  <c r="H71" i="7"/>
  <c r="G71" i="7"/>
  <c r="B68" i="7"/>
  <c r="B69" i="7" s="1"/>
  <c r="H67" i="7"/>
  <c r="G67" i="7"/>
  <c r="H63" i="7"/>
  <c r="G63" i="7"/>
  <c r="B57" i="7"/>
  <c r="C56" i="7"/>
  <c r="B55" i="7"/>
  <c r="D48" i="7"/>
  <c r="B45" i="7"/>
  <c r="F42" i="7"/>
  <c r="D42" i="7"/>
  <c r="G41" i="7"/>
  <c r="E41" i="7"/>
  <c r="B34" i="7"/>
  <c r="F44" i="7" s="1"/>
  <c r="B30" i="7"/>
  <c r="F126" i="5"/>
  <c r="F109" i="5"/>
  <c r="B57" i="5"/>
  <c r="F45" i="7" l="1"/>
  <c r="F46" i="7" s="1"/>
  <c r="F99" i="7"/>
  <c r="G92" i="7" s="1"/>
  <c r="D44" i="7"/>
  <c r="D45" i="7" s="1"/>
  <c r="D49" i="7"/>
  <c r="D98" i="7"/>
  <c r="D99" i="7" s="1"/>
  <c r="D100" i="7" s="1"/>
  <c r="D103" i="7"/>
  <c r="G94" i="7" l="1"/>
  <c r="G93" i="7"/>
  <c r="G96" i="7" s="1"/>
  <c r="G40" i="7"/>
  <c r="G39" i="7"/>
  <c r="G38" i="7"/>
  <c r="F100" i="7"/>
  <c r="E39" i="7"/>
  <c r="D46" i="7"/>
  <c r="E94" i="7"/>
  <c r="E40" i="7"/>
  <c r="E92" i="7"/>
  <c r="E38" i="7"/>
  <c r="E93" i="7"/>
  <c r="G42" i="7" l="1"/>
  <c r="D52" i="7"/>
  <c r="D50" i="7"/>
  <c r="E42" i="7"/>
  <c r="D106" i="7"/>
  <c r="D104" i="7"/>
  <c r="E96" i="7"/>
  <c r="G69" i="7" l="1"/>
  <c r="H69" i="7" s="1"/>
  <c r="G66" i="7"/>
  <c r="H66" i="7" s="1"/>
  <c r="G64" i="7"/>
  <c r="H64" i="7" s="1"/>
  <c r="G62" i="7"/>
  <c r="H62" i="7" s="1"/>
  <c r="D51" i="7"/>
  <c r="G70" i="7"/>
  <c r="H70" i="7" s="1"/>
  <c r="G65" i="7"/>
  <c r="H65" i="7" s="1"/>
  <c r="G61" i="7"/>
  <c r="H61" i="7" s="1"/>
  <c r="G68" i="7"/>
  <c r="H68" i="7" s="1"/>
  <c r="G60" i="7"/>
  <c r="H60" i="7" s="1"/>
  <c r="E130" i="7"/>
  <c r="F130" i="7" s="1"/>
  <c r="E128" i="7"/>
  <c r="F128" i="7" s="1"/>
  <c r="E126" i="7"/>
  <c r="F126" i="7" s="1"/>
  <c r="E114" i="7"/>
  <c r="F114" i="7" s="1"/>
  <c r="E112" i="7"/>
  <c r="F112" i="7" s="1"/>
  <c r="E110" i="7"/>
  <c r="F110" i="7" s="1"/>
  <c r="D105" i="7"/>
  <c r="E131" i="7"/>
  <c r="F131" i="7" s="1"/>
  <c r="E129" i="7"/>
  <c r="F129" i="7" s="1"/>
  <c r="E127" i="7"/>
  <c r="F127" i="7" s="1"/>
  <c r="E113" i="7"/>
  <c r="F113" i="7" s="1"/>
  <c r="E111" i="7"/>
  <c r="F111" i="7" s="1"/>
  <c r="E109" i="7"/>
  <c r="F109" i="7" s="1"/>
  <c r="F133" i="7" l="1"/>
  <c r="F135" i="7"/>
  <c r="F118" i="7"/>
  <c r="F116" i="7"/>
  <c r="H72" i="7"/>
  <c r="H74" i="7"/>
  <c r="H73" i="7" l="1"/>
  <c r="G76" i="7"/>
  <c r="F117" i="7"/>
  <c r="G121" i="7"/>
  <c r="G138" i="7"/>
  <c r="F134" i="7"/>
  <c r="C138" i="5" l="1"/>
  <c r="B134" i="5"/>
  <c r="C121" i="5"/>
  <c r="B117" i="5"/>
  <c r="B99" i="5"/>
  <c r="D102" i="5" s="1"/>
  <c r="D98" i="5"/>
  <c r="D99" i="5" s="1"/>
  <c r="D100" i="5" s="1"/>
  <c r="F96" i="5"/>
  <c r="D96" i="5"/>
  <c r="G95" i="5"/>
  <c r="E95" i="5"/>
  <c r="B88" i="5"/>
  <c r="F98" i="5" s="1"/>
  <c r="F99" i="5" s="1"/>
  <c r="F100" i="5" s="1"/>
  <c r="B84" i="5"/>
  <c r="B83" i="5"/>
  <c r="B82" i="5"/>
  <c r="B81" i="5"/>
  <c r="B80" i="5"/>
  <c r="C76" i="5"/>
  <c r="H71" i="5"/>
  <c r="G71" i="5"/>
  <c r="B68" i="5"/>
  <c r="H67" i="5"/>
  <c r="G67" i="5"/>
  <c r="H63" i="5"/>
  <c r="G63" i="5"/>
  <c r="B69" i="5"/>
  <c r="C56" i="5"/>
  <c r="B55" i="5"/>
  <c r="B45" i="5"/>
  <c r="D48" i="5" s="1"/>
  <c r="D44" i="5"/>
  <c r="D45" i="5" s="1"/>
  <c r="D46" i="5" s="1"/>
  <c r="F42" i="5"/>
  <c r="D42" i="5"/>
  <c r="G41" i="5"/>
  <c r="E41" i="5"/>
  <c r="B34" i="5"/>
  <c r="F44" i="5" s="1"/>
  <c r="F45" i="5" s="1"/>
  <c r="F46" i="5" s="1"/>
  <c r="B30" i="5"/>
  <c r="G40" i="5" l="1"/>
  <c r="G38" i="5"/>
  <c r="D49" i="5"/>
  <c r="E40" i="5"/>
  <c r="E38" i="5"/>
  <c r="G39" i="5"/>
  <c r="E39" i="5"/>
  <c r="G94" i="5"/>
  <c r="G92" i="5"/>
  <c r="E93" i="5"/>
  <c r="D103" i="5"/>
  <c r="E94" i="5"/>
  <c r="E92" i="5"/>
  <c r="G93" i="5"/>
  <c r="C49" i="2"/>
  <c r="C46" i="2"/>
  <c r="D50" i="2" s="1"/>
  <c r="C45" i="2"/>
  <c r="D43" i="2"/>
  <c r="D41" i="2"/>
  <c r="D39" i="2"/>
  <c r="D37" i="2"/>
  <c r="D35" i="2"/>
  <c r="D33" i="2"/>
  <c r="D31" i="2"/>
  <c r="D29" i="2"/>
  <c r="D27" i="2"/>
  <c r="D25" i="2"/>
  <c r="C19" i="2"/>
  <c r="D104" i="5" l="1"/>
  <c r="E96" i="5"/>
  <c r="D106" i="5"/>
  <c r="G96" i="5"/>
  <c r="G42" i="5"/>
  <c r="D50" i="5"/>
  <c r="E42" i="5"/>
  <c r="D52" i="5"/>
  <c r="D24" i="2"/>
  <c r="D28" i="2"/>
  <c r="D32" i="2"/>
  <c r="D36" i="2"/>
  <c r="D40" i="2"/>
  <c r="D49" i="2"/>
  <c r="C50" i="2"/>
  <c r="D26" i="2"/>
  <c r="D30" i="2"/>
  <c r="D34" i="2"/>
  <c r="D38" i="2"/>
  <c r="D42" i="2"/>
  <c r="B49" i="2"/>
  <c r="G70" i="5" l="1"/>
  <c r="H70" i="5" s="1"/>
  <c r="G65" i="5"/>
  <c r="H65" i="5" s="1"/>
  <c r="G61" i="5"/>
  <c r="H61" i="5" s="1"/>
  <c r="G68" i="5"/>
  <c r="H68" i="5" s="1"/>
  <c r="D51" i="5"/>
  <c r="G69" i="5"/>
  <c r="H69" i="5" s="1"/>
  <c r="G66" i="5"/>
  <c r="H66" i="5" s="1"/>
  <c r="G64" i="5"/>
  <c r="H64" i="5" s="1"/>
  <c r="G62" i="5"/>
  <c r="H62" i="5" s="1"/>
  <c r="G60" i="5"/>
  <c r="H60" i="5" s="1"/>
  <c r="E126" i="5"/>
  <c r="E112" i="5"/>
  <c r="F112" i="5" s="1"/>
  <c r="E131" i="5"/>
  <c r="F131" i="5" s="1"/>
  <c r="E129" i="5"/>
  <c r="F129" i="5" s="1"/>
  <c r="E127" i="5"/>
  <c r="F127" i="5" s="1"/>
  <c r="E113" i="5"/>
  <c r="F113" i="5" s="1"/>
  <c r="E111" i="5"/>
  <c r="F111" i="5" s="1"/>
  <c r="E109" i="5"/>
  <c r="E130" i="5"/>
  <c r="F130" i="5" s="1"/>
  <c r="E110" i="5"/>
  <c r="F110" i="5" s="1"/>
  <c r="E128" i="5"/>
  <c r="F128" i="5" s="1"/>
  <c r="E114" i="5"/>
  <c r="F114" i="5" s="1"/>
  <c r="D105" i="5"/>
  <c r="H72" i="5" l="1"/>
  <c r="H74" i="5"/>
  <c r="F116" i="5"/>
  <c r="F118" i="5"/>
  <c r="F135" i="5"/>
  <c r="F133" i="5"/>
  <c r="F134" i="5" l="1"/>
  <c r="G138" i="5"/>
  <c r="G121" i="5"/>
  <c r="F117" i="5"/>
  <c r="G76" i="5"/>
  <c r="H73" i="5"/>
</calcChain>
</file>

<file path=xl/sharedStrings.xml><?xml version="1.0" encoding="utf-8"?>
<sst xmlns="http://schemas.openxmlformats.org/spreadsheetml/2006/main" count="487" uniqueCount="134">
  <si>
    <t>HPLC System Suitability Report</t>
  </si>
  <si>
    <t>Analysis Data</t>
  </si>
  <si>
    <t>Sample(s)</t>
  </si>
  <si>
    <t>Reference Substance:</t>
  </si>
  <si>
    <t>ATAZANAVIR SULFATE /RITONAVIR TABLETS</t>
  </si>
  <si>
    <t>% age Purity:</t>
  </si>
  <si>
    <t>NDQB201604859</t>
  </si>
  <si>
    <t>Weight (mg):</t>
  </si>
  <si>
    <t>ATAZANAVIR, RITONAVIR</t>
  </si>
  <si>
    <t>Standard Conc (mg/mL):</t>
  </si>
  <si>
    <t>Each Tablet contains Atanazavir 300 mg and Ritonavir 100 mg</t>
  </si>
  <si>
    <t>2016-04-14 10:30:52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</si>
  <si>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</si>
  <si>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</si>
  <si>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</si>
  <si>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</si>
  <si>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</si>
  <si>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</si>
  <si>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</si>
  <si>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</si>
  <si>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</si>
  <si>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</si>
  <si>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</si>
  <si>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</si>
  <si>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</si>
  <si>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</si>
  <si>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</si>
  <si>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</si>
  <si>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</si>
  <si>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</si>
  <si>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</si>
  <si>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</si>
  <si>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</si>
  <si>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</si>
  <si>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</si>
  <si>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</si>
  <si>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</si>
  <si>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</si>
  <si>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</si>
  <si>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</si>
  <si>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</si>
  <si>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</si>
  <si>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</si>
  <si>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</si>
  <si>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</si>
  <si>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</si>
  <si>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</si>
  <si>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</si>
  <si>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</si>
  <si>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</si>
  <si>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</si>
  <si>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</si>
  <si>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</si>
  <si>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</si>
  <si>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</si>
  <si>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</si>
  <si>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</si>
  <si>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</si>
  <si>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t>Injection</t>
  </si>
  <si>
    <t>Response:</t>
  </si>
  <si>
    <t>Normalised Response:</t>
  </si>
  <si>
    <t>Average: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</si>
  <si>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</si>
  <si>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</si>
  <si>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</si>
  <si>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</si>
  <si>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</si>
  <si>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</si>
  <si>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</si>
  <si>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</si>
  <si>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</si>
  <si>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</si>
  <si>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</si>
  <si>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</si>
  <si>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Powder Weight (mg)</t>
  </si>
  <si>
    <t>Determined Amt (mg)</t>
  </si>
  <si>
    <t>% Assay</t>
  </si>
  <si>
    <t>Assay Smp A</t>
  </si>
  <si>
    <t>Assay Smp B</t>
  </si>
  <si>
    <t>Sample Dilution Factor</t>
  </si>
  <si>
    <t>Assay Smp C</t>
  </si>
  <si>
    <t>Desired Sample Weight (mg):</t>
  </si>
  <si>
    <t xml:space="preserve">in the sample as a percentage of the stated  label claim is </t>
  </si>
  <si>
    <t>Amt of RS (mg):</t>
  </si>
  <si>
    <t>Amt of RS as free base (mg):</t>
  </si>
  <si>
    <t>Average Normalised Peak Area:</t>
  </si>
  <si>
    <t>Medium Volume (mL):</t>
  </si>
  <si>
    <t>Amt Released (mg):</t>
  </si>
  <si>
    <t>%age Released:</t>
  </si>
  <si>
    <t xml:space="preserve">The amount  of </t>
  </si>
  <si>
    <t xml:space="preserve">dissolved as a percentage of the stated  label claim is </t>
  </si>
  <si>
    <t xml:space="preserve">ATAZANAVIR </t>
  </si>
  <si>
    <t>Each film coated tablet contains: Atazanavir 300mg</t>
  </si>
  <si>
    <t>Atazanavir sulfate</t>
  </si>
  <si>
    <t>A48-1</t>
  </si>
  <si>
    <t>Initial    Standard dilution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</si>
  <si>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</si>
  <si>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</si>
  <si>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</si>
  <si>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</si>
  <si>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</si>
  <si>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</si>
  <si>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</si>
  <si>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</si>
  <si>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</si>
  <si>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Desired Concetration (mg/mL):</t>
  </si>
  <si>
    <t>Initial    Sample dilution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</si>
  <si>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</si>
  <si>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</si>
  <si>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</si>
  <si>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</si>
  <si>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</si>
  <si>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</si>
  <si>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</si>
  <si>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</si>
  <si>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Comment</t>
  </si>
  <si>
    <t>Analysis Data:</t>
  </si>
  <si>
    <t>Determination of Active Ingredient Dissolved after</t>
  </si>
  <si>
    <t>45 Minutes</t>
  </si>
  <si>
    <t>tablet No.</t>
  </si>
  <si>
    <t>90 Minutes</t>
  </si>
  <si>
    <t>Each film coated tablet contains: Ritonavir 100mg</t>
  </si>
  <si>
    <t>Ritonavir</t>
  </si>
  <si>
    <t>RITONAVIR</t>
  </si>
  <si>
    <t>R14-2</t>
  </si>
  <si>
    <t>ATAZANAVIR SST</t>
  </si>
  <si>
    <t xml:space="preserve">Atazanavir Sulfate </t>
  </si>
  <si>
    <r>
      <t xml:space="preserve">Peak resolution is </t>
    </r>
    <r>
      <rPr>
        <b/>
        <sz val="12"/>
        <color rgb="FF000000"/>
        <rFont val="Book Antiqua"/>
        <family val="1"/>
      </rPr>
      <t>not less than 2.5</t>
    </r>
  </si>
  <si>
    <t>Peak Resolution (USP)</t>
  </si>
  <si>
    <t>____________________________________________________________________________________________________________________________________________________</t>
  </si>
  <si>
    <t xml:space="preserve">Ritonavir </t>
  </si>
  <si>
    <t>Atazanavir</t>
  </si>
  <si>
    <t>HPLC System Suitability Report (DISSOLUTION REPEAT)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</si>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</sst>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00\ &quot;mg&quot;"/>
    <numFmt numFmtId="170" formatCode="0.000"/>
  </numFmts>
  <fonts count="30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20"/>
      <color rgb="FF000000"/>
      <name val="Book Antiqua"/>
      <family val="1"/>
    </font>
    <font>
      <sz val="10"/>
      <color rgb="FF000000"/>
      <name val="Arial"/>
      <family val="2"/>
    </font>
    <font>
      <b/>
      <sz val="72"/>
      <color rgb="FF000000"/>
      <name val="Book Antiqua"/>
      <family val="1"/>
    </font>
    <font>
      <sz val="10"/>
      <color rgb="FF000000"/>
      <name val="Book Antiqua"/>
      <family val="1"/>
    </font>
    <font>
      <b/>
      <sz val="52"/>
      <color rgb="FF000000"/>
      <name val="Book Antiqua"/>
      <family val="1"/>
    </font>
    <font>
      <b/>
      <i/>
      <sz val="12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12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vertAlign val="superscript"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u/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2" fillId="2" borderId="0"/>
    <xf numFmtId="0" fontId="12" fillId="2" borderId="0"/>
  </cellStyleXfs>
  <cellXfs count="337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4" fillId="2" borderId="0" xfId="1" applyFont="1" applyFill="1"/>
    <xf numFmtId="0" fontId="17" fillId="2" borderId="0" xfId="1" applyFont="1" applyFill="1"/>
    <xf numFmtId="0" fontId="12" fillId="2" borderId="0" xfId="1" applyFill="1"/>
    <xf numFmtId="0" fontId="18" fillId="2" borderId="0" xfId="1" applyFont="1" applyFill="1"/>
    <xf numFmtId="0" fontId="18" fillId="3" borderId="0" xfId="1" applyFont="1" applyFill="1" applyAlignment="1" applyProtection="1">
      <alignment horizontal="left"/>
      <protection locked="0"/>
    </xf>
    <xf numFmtId="0" fontId="19" fillId="3" borderId="0" xfId="1" applyFont="1" applyFill="1" applyAlignment="1" applyProtection="1">
      <alignment horizontal="left"/>
      <protection locked="0"/>
    </xf>
    <xf numFmtId="0" fontId="19" fillId="2" borderId="0" xfId="1" applyFont="1" applyFill="1" applyProtection="1">
      <protection locked="0"/>
    </xf>
    <xf numFmtId="0" fontId="19" fillId="3" borderId="0" xfId="1" applyFont="1" applyFill="1" applyProtection="1">
      <protection locked="0"/>
    </xf>
    <xf numFmtId="168" fontId="19" fillId="3" borderId="0" xfId="1" applyNumberFormat="1" applyFont="1" applyFill="1" applyAlignment="1" applyProtection="1">
      <alignment horizontal="left"/>
      <protection locked="0"/>
    </xf>
    <xf numFmtId="0" fontId="11" fillId="3" borderId="0" xfId="1" applyFont="1" applyFill="1" applyAlignment="1" applyProtection="1">
      <alignment horizontal="left"/>
      <protection locked="0"/>
    </xf>
    <xf numFmtId="168" fontId="19" fillId="2" borderId="0" xfId="1" applyNumberFormat="1" applyFont="1" applyFill="1" applyAlignment="1">
      <alignment horizontal="left"/>
    </xf>
    <xf numFmtId="0" fontId="17" fillId="2" borderId="0" xfId="1" applyFont="1" applyFill="1" applyAlignment="1">
      <alignment horizontal="left"/>
    </xf>
    <xf numFmtId="0" fontId="18" fillId="2" borderId="0" xfId="1" applyFont="1" applyFill="1" applyAlignment="1">
      <alignment horizontal="right"/>
    </xf>
    <xf numFmtId="0" fontId="19" fillId="2" borderId="0" xfId="1" applyFont="1" applyFill="1" applyAlignment="1">
      <alignment horizontal="right"/>
    </xf>
    <xf numFmtId="0" fontId="20" fillId="3" borderId="0" xfId="1" applyFont="1" applyFill="1" applyAlignment="1" applyProtection="1">
      <alignment horizontal="center"/>
      <protection locked="0"/>
    </xf>
    <xf numFmtId="0" fontId="22" fillId="2" borderId="0" xfId="1" applyFont="1" applyFill="1"/>
    <xf numFmtId="0" fontId="23" fillId="2" borderId="0" xfId="1" applyFont="1" applyFill="1" applyAlignment="1">
      <alignment vertical="center" wrapText="1"/>
    </xf>
    <xf numFmtId="0" fontId="18" fillId="2" borderId="0" xfId="1" applyFont="1" applyFill="1" applyAlignment="1">
      <alignment horizontal="center"/>
    </xf>
    <xf numFmtId="0" fontId="24" fillId="2" borderId="0" xfId="1" applyFont="1" applyFill="1"/>
    <xf numFmtId="0" fontId="25" fillId="2" borderId="0" xfId="1" applyFont="1" applyFill="1"/>
    <xf numFmtId="2" fontId="20" fillId="3" borderId="0" xfId="1" applyNumberFormat="1" applyFont="1" applyFill="1" applyAlignment="1" applyProtection="1">
      <alignment horizontal="center"/>
      <protection locked="0"/>
    </xf>
    <xf numFmtId="0" fontId="18" fillId="2" borderId="0" xfId="1" applyFont="1" applyFill="1" applyAlignment="1">
      <alignment vertical="center" wrapText="1"/>
    </xf>
    <xf numFmtId="0" fontId="26" fillId="2" borderId="0" xfId="1" applyFont="1" applyFill="1"/>
    <xf numFmtId="2" fontId="18" fillId="2" borderId="0" xfId="1" applyNumberFormat="1" applyFont="1" applyFill="1" applyAlignment="1">
      <alignment horizontal="center"/>
    </xf>
    <xf numFmtId="0" fontId="21" fillId="2" borderId="0" xfId="1" applyFont="1" applyFill="1" applyAlignment="1">
      <alignment horizontal="left" vertical="center" wrapText="1"/>
    </xf>
    <xf numFmtId="169" fontId="18" fillId="2" borderId="0" xfId="1" applyNumberFormat="1" applyFont="1" applyFill="1" applyAlignment="1">
      <alignment horizontal="center"/>
    </xf>
    <xf numFmtId="0" fontId="19" fillId="2" borderId="0" xfId="1" applyFont="1" applyFill="1"/>
    <xf numFmtId="0" fontId="19" fillId="2" borderId="21" xfId="1" applyFont="1" applyFill="1" applyBorder="1" applyAlignment="1">
      <alignment horizontal="right"/>
    </xf>
    <xf numFmtId="0" fontId="20" fillId="3" borderId="22" xfId="1" applyFont="1" applyFill="1" applyBorder="1" applyAlignment="1" applyProtection="1">
      <alignment horizontal="center"/>
      <protection locked="0"/>
    </xf>
    <xf numFmtId="0" fontId="19" fillId="2" borderId="23" xfId="1" applyFont="1" applyFill="1" applyBorder="1" applyAlignment="1">
      <alignment horizontal="right"/>
    </xf>
    <xf numFmtId="0" fontId="20" fillId="3" borderId="24" xfId="1" applyFont="1" applyFill="1" applyBorder="1" applyAlignment="1" applyProtection="1">
      <alignment horizontal="center"/>
      <protection locked="0"/>
    </xf>
    <xf numFmtId="0" fontId="18" fillId="2" borderId="22" xfId="1" applyFont="1" applyFill="1" applyBorder="1" applyAlignment="1">
      <alignment horizontal="center"/>
    </xf>
    <xf numFmtId="0" fontId="18" fillId="2" borderId="25" xfId="1" applyFont="1" applyFill="1" applyBorder="1" applyAlignment="1">
      <alignment horizontal="center"/>
    </xf>
    <xf numFmtId="0" fontId="18" fillId="2" borderId="26" xfId="1" applyFont="1" applyFill="1" applyBorder="1" applyAlignment="1">
      <alignment horizontal="center"/>
    </xf>
    <xf numFmtId="0" fontId="18" fillId="2" borderId="30" xfId="1" applyFont="1" applyFill="1" applyBorder="1" applyAlignment="1">
      <alignment horizontal="center"/>
    </xf>
    <xf numFmtId="0" fontId="19" fillId="2" borderId="28" xfId="1" applyFont="1" applyFill="1" applyBorder="1" applyAlignment="1">
      <alignment horizontal="center"/>
    </xf>
    <xf numFmtId="0" fontId="20" fillId="3" borderId="29" xfId="1" applyFont="1" applyFill="1" applyBorder="1" applyAlignment="1" applyProtection="1">
      <alignment horizontal="center"/>
      <protection locked="0"/>
    </xf>
    <xf numFmtId="170" fontId="19" fillId="2" borderId="26" xfId="1" applyNumberFormat="1" applyFont="1" applyFill="1" applyBorder="1" applyAlignment="1">
      <alignment horizontal="center"/>
    </xf>
    <xf numFmtId="170" fontId="19" fillId="2" borderId="30" xfId="1" applyNumberFormat="1" applyFont="1" applyFill="1" applyBorder="1" applyAlignment="1">
      <alignment horizontal="center"/>
    </xf>
    <xf numFmtId="0" fontId="19" fillId="2" borderId="24" xfId="1" applyFont="1" applyFill="1" applyBorder="1" applyAlignment="1">
      <alignment horizontal="center"/>
    </xf>
    <xf numFmtId="0" fontId="20" fillId="3" borderId="23" xfId="1" applyFont="1" applyFill="1" applyBorder="1" applyAlignment="1" applyProtection="1">
      <alignment horizontal="center"/>
      <protection locked="0"/>
    </xf>
    <xf numFmtId="170" fontId="19" fillId="2" borderId="31" xfId="1" applyNumberFormat="1" applyFont="1" applyFill="1" applyBorder="1" applyAlignment="1">
      <alignment horizontal="center"/>
    </xf>
    <xf numFmtId="170" fontId="19" fillId="2" borderId="32" xfId="1" applyNumberFormat="1" applyFont="1" applyFill="1" applyBorder="1" applyAlignment="1">
      <alignment horizontal="center"/>
    </xf>
    <xf numFmtId="0" fontId="19" fillId="2" borderId="33" xfId="1" applyFont="1" applyFill="1" applyBorder="1" applyAlignment="1">
      <alignment horizontal="center"/>
    </xf>
    <xf numFmtId="0" fontId="20" fillId="3" borderId="34" xfId="1" applyFont="1" applyFill="1" applyBorder="1" applyAlignment="1" applyProtection="1">
      <alignment horizontal="center"/>
      <protection locked="0"/>
    </xf>
    <xf numFmtId="170" fontId="19" fillId="2" borderId="35" xfId="1" applyNumberFormat="1" applyFont="1" applyFill="1" applyBorder="1" applyAlignment="1">
      <alignment horizontal="center"/>
    </xf>
    <xf numFmtId="170" fontId="19" fillId="2" borderId="36" xfId="1" applyNumberFormat="1" applyFont="1" applyFill="1" applyBorder="1" applyAlignment="1">
      <alignment horizontal="center"/>
    </xf>
    <xf numFmtId="0" fontId="19" fillId="2" borderId="24" xfId="1" applyFont="1" applyFill="1" applyBorder="1" applyAlignment="1">
      <alignment horizontal="right"/>
    </xf>
    <xf numFmtId="1" fontId="18" fillId="6" borderId="52" xfId="1" applyNumberFormat="1" applyFont="1" applyFill="1" applyBorder="1" applyAlignment="1">
      <alignment horizontal="center"/>
    </xf>
    <xf numFmtId="170" fontId="18" fillId="6" borderId="38" xfId="1" applyNumberFormat="1" applyFont="1" applyFill="1" applyBorder="1" applyAlignment="1">
      <alignment horizontal="center"/>
    </xf>
    <xf numFmtId="1" fontId="18" fillId="6" borderId="37" xfId="1" applyNumberFormat="1" applyFont="1" applyFill="1" applyBorder="1" applyAlignment="1">
      <alignment horizontal="center"/>
    </xf>
    <xf numFmtId="170" fontId="18" fillId="6" borderId="39" xfId="1" applyNumberFormat="1" applyFont="1" applyFill="1" applyBorder="1" applyAlignment="1">
      <alignment horizontal="center"/>
    </xf>
    <xf numFmtId="0" fontId="14" fillId="2" borderId="0" xfId="1" applyFont="1" applyFill="1" applyAlignment="1">
      <alignment horizontal="center"/>
    </xf>
    <xf numFmtId="0" fontId="19" fillId="2" borderId="50" xfId="1" applyFont="1" applyFill="1" applyBorder="1" applyAlignment="1">
      <alignment horizontal="right"/>
    </xf>
    <xf numFmtId="0" fontId="20" fillId="3" borderId="51" xfId="1" applyFont="1" applyFill="1" applyBorder="1" applyAlignment="1" applyProtection="1">
      <alignment horizontal="center"/>
      <protection locked="0"/>
    </xf>
    <xf numFmtId="0" fontId="20" fillId="3" borderId="16" xfId="1" applyFont="1" applyFill="1" applyBorder="1" applyAlignment="1" applyProtection="1">
      <alignment horizontal="center"/>
      <protection locked="0"/>
    </xf>
    <xf numFmtId="0" fontId="19" fillId="2" borderId="25" xfId="1" applyFont="1" applyFill="1" applyBorder="1" applyAlignment="1">
      <alignment horizontal="right"/>
    </xf>
    <xf numFmtId="2" fontId="19" fillId="6" borderId="27" xfId="1" applyNumberFormat="1" applyFont="1" applyFill="1" applyBorder="1" applyAlignment="1">
      <alignment horizontal="center"/>
    </xf>
    <xf numFmtId="0" fontId="19" fillId="2" borderId="0" xfId="1" applyFont="1" applyFill="1" applyAlignment="1">
      <alignment horizontal="center"/>
    </xf>
    <xf numFmtId="2" fontId="19" fillId="6" borderId="41" xfId="1" applyNumberFormat="1" applyFont="1" applyFill="1" applyBorder="1" applyAlignment="1">
      <alignment horizontal="center"/>
    </xf>
    <xf numFmtId="2" fontId="19" fillId="7" borderId="27" xfId="1" applyNumberFormat="1" applyFont="1" applyFill="1" applyBorder="1" applyAlignment="1">
      <alignment horizontal="center"/>
    </xf>
    <xf numFmtId="2" fontId="19" fillId="2" borderId="0" xfId="1" applyNumberFormat="1" applyFont="1" applyFill="1" applyAlignment="1">
      <alignment horizontal="center"/>
    </xf>
    <xf numFmtId="2" fontId="19" fillId="7" borderId="41" xfId="1" applyNumberFormat="1" applyFont="1" applyFill="1" applyBorder="1" applyAlignment="1">
      <alignment horizontal="center"/>
    </xf>
    <xf numFmtId="2" fontId="19" fillId="6" borderId="17" xfId="1" applyNumberFormat="1" applyFont="1" applyFill="1" applyBorder="1" applyAlignment="1">
      <alignment horizontal="center"/>
    </xf>
    <xf numFmtId="0" fontId="20" fillId="3" borderId="27" xfId="1" applyFont="1" applyFill="1" applyBorder="1" applyAlignment="1" applyProtection="1">
      <alignment horizontal="center"/>
      <protection locked="0"/>
    </xf>
    <xf numFmtId="1" fontId="19" fillId="2" borderId="0" xfId="1" applyNumberFormat="1" applyFont="1" applyFill="1" applyAlignment="1">
      <alignment horizontal="center"/>
    </xf>
    <xf numFmtId="0" fontId="19" fillId="2" borderId="52" xfId="1" applyFont="1" applyFill="1" applyBorder="1" applyAlignment="1">
      <alignment horizontal="right"/>
    </xf>
    <xf numFmtId="2" fontId="19" fillId="7" borderId="30" xfId="1" applyNumberFormat="1" applyFont="1" applyFill="1" applyBorder="1" applyAlignment="1">
      <alignment horizontal="center"/>
    </xf>
    <xf numFmtId="170" fontId="19" fillId="2" borderId="0" xfId="1" applyNumberFormat="1" applyFont="1" applyFill="1" applyAlignment="1">
      <alignment horizontal="center"/>
    </xf>
    <xf numFmtId="0" fontId="19" fillId="2" borderId="16" xfId="1" applyFont="1" applyFill="1" applyBorder="1" applyAlignment="1">
      <alignment horizontal="right"/>
    </xf>
    <xf numFmtId="170" fontId="18" fillId="7" borderId="16" xfId="1" applyNumberFormat="1" applyFont="1" applyFill="1" applyBorder="1" applyAlignment="1">
      <alignment horizontal="center"/>
    </xf>
    <xf numFmtId="0" fontId="19" fillId="2" borderId="41" xfId="1" applyFont="1" applyFill="1" applyBorder="1" applyAlignment="1">
      <alignment horizontal="right"/>
    </xf>
    <xf numFmtId="10" fontId="19" fillId="6" borderId="41" xfId="1" applyNumberFormat="1" applyFont="1" applyFill="1" applyBorder="1" applyAlignment="1">
      <alignment horizontal="center"/>
    </xf>
    <xf numFmtId="0" fontId="19" fillId="2" borderId="17" xfId="1" applyFont="1" applyFill="1" applyBorder="1" applyAlignment="1">
      <alignment horizontal="right"/>
    </xf>
    <xf numFmtId="0" fontId="19" fillId="7" borderId="17" xfId="1" applyFont="1" applyFill="1" applyBorder="1" applyAlignment="1">
      <alignment horizontal="center"/>
    </xf>
    <xf numFmtId="0" fontId="18" fillId="2" borderId="0" xfId="1" applyFont="1" applyFill="1" applyAlignment="1">
      <alignment horizontal="left"/>
    </xf>
    <xf numFmtId="0" fontId="19" fillId="2" borderId="0" xfId="1" applyFont="1" applyFill="1" applyAlignment="1">
      <alignment horizontal="left"/>
    </xf>
    <xf numFmtId="166" fontId="18" fillId="2" borderId="0" xfId="1" applyNumberFormat="1" applyFont="1" applyFill="1" applyAlignment="1" applyProtection="1">
      <alignment horizontal="center"/>
      <protection locked="0"/>
    </xf>
    <xf numFmtId="2" fontId="18" fillId="2" borderId="13" xfId="1" applyNumberFormat="1" applyFont="1" applyFill="1" applyBorder="1" applyAlignment="1">
      <alignment horizontal="center"/>
    </xf>
    <xf numFmtId="0" fontId="18" fillId="2" borderId="13" xfId="1" applyFont="1" applyFill="1" applyBorder="1" applyAlignment="1">
      <alignment horizontal="center"/>
    </xf>
    <xf numFmtId="0" fontId="19" fillId="2" borderId="13" xfId="1" applyFont="1" applyFill="1" applyBorder="1" applyAlignment="1">
      <alignment horizontal="center"/>
    </xf>
    <xf numFmtId="0" fontId="20" fillId="3" borderId="21" xfId="1" applyFont="1" applyFill="1" applyBorder="1" applyAlignment="1" applyProtection="1">
      <alignment horizontal="center"/>
      <protection locked="0"/>
    </xf>
    <xf numFmtId="2" fontId="19" fillId="2" borderId="21" xfId="1" applyNumberFormat="1" applyFont="1" applyFill="1" applyBorder="1" applyAlignment="1">
      <alignment horizontal="center"/>
    </xf>
    <xf numFmtId="10" fontId="19" fillId="2" borderId="13" xfId="1" applyNumberFormat="1" applyFont="1" applyFill="1" applyBorder="1" applyAlignment="1">
      <alignment horizontal="center" vertical="center"/>
    </xf>
    <xf numFmtId="0" fontId="19" fillId="2" borderId="14" xfId="1" applyFont="1" applyFill="1" applyBorder="1" applyAlignment="1">
      <alignment horizontal="center"/>
    </xf>
    <xf numFmtId="2" fontId="19" fillId="2" borderId="23" xfId="1" applyNumberFormat="1" applyFont="1" applyFill="1" applyBorder="1" applyAlignment="1">
      <alignment horizontal="center"/>
    </xf>
    <xf numFmtId="10" fontId="19" fillId="2" borderId="14" xfId="1" applyNumberFormat="1" applyFont="1" applyFill="1" applyBorder="1" applyAlignment="1">
      <alignment horizontal="center" vertical="center"/>
    </xf>
    <xf numFmtId="0" fontId="19" fillId="2" borderId="15" xfId="1" applyFont="1" applyFill="1" applyBorder="1" applyAlignment="1">
      <alignment horizontal="center"/>
    </xf>
    <xf numFmtId="0" fontId="20" fillId="3" borderId="42" xfId="1" applyFont="1" applyFill="1" applyBorder="1" applyAlignment="1" applyProtection="1">
      <alignment horizontal="center"/>
      <protection locked="0"/>
    </xf>
    <xf numFmtId="2" fontId="19" fillId="2" borderId="13" xfId="1" applyNumberFormat="1" applyFont="1" applyFill="1" applyBorder="1" applyAlignment="1">
      <alignment horizontal="center"/>
    </xf>
    <xf numFmtId="10" fontId="19" fillId="2" borderId="22" xfId="1" applyNumberFormat="1" applyFont="1" applyFill="1" applyBorder="1" applyAlignment="1">
      <alignment horizontal="center" vertical="center"/>
    </xf>
    <xf numFmtId="2" fontId="19" fillId="2" borderId="14" xfId="1" applyNumberFormat="1" applyFont="1" applyFill="1" applyBorder="1" applyAlignment="1">
      <alignment horizontal="center"/>
    </xf>
    <xf numFmtId="10" fontId="19" fillId="2" borderId="24" xfId="1" applyNumberFormat="1" applyFont="1" applyFill="1" applyBorder="1" applyAlignment="1">
      <alignment horizontal="center" vertical="center"/>
    </xf>
    <xf numFmtId="2" fontId="19" fillId="2" borderId="15" xfId="1" applyNumberFormat="1" applyFont="1" applyFill="1" applyBorder="1" applyAlignment="1">
      <alignment horizontal="center"/>
    </xf>
    <xf numFmtId="10" fontId="19" fillId="2" borderId="43" xfId="1" applyNumberFormat="1" applyFont="1" applyFill="1" applyBorder="1" applyAlignment="1">
      <alignment horizontal="center" vertical="center"/>
    </xf>
    <xf numFmtId="0" fontId="18" fillId="2" borderId="24" xfId="1" applyFont="1" applyFill="1" applyBorder="1" applyAlignment="1">
      <alignment horizontal="center"/>
    </xf>
    <xf numFmtId="0" fontId="19" fillId="2" borderId="42" xfId="1" applyFont="1" applyFill="1" applyBorder="1" applyAlignment="1">
      <alignment horizontal="right"/>
    </xf>
    <xf numFmtId="2" fontId="28" fillId="2" borderId="43" xfId="1" applyNumberFormat="1" applyFont="1" applyFill="1" applyBorder="1" applyAlignment="1">
      <alignment horizontal="center"/>
    </xf>
    <xf numFmtId="10" fontId="19" fillId="2" borderId="15" xfId="1" applyNumberFormat="1" applyFont="1" applyFill="1" applyBorder="1" applyAlignment="1">
      <alignment horizontal="center" vertical="center"/>
    </xf>
    <xf numFmtId="0" fontId="19" fillId="2" borderId="44" xfId="1" applyFont="1" applyFill="1" applyBorder="1" applyAlignment="1">
      <alignment horizontal="right"/>
    </xf>
    <xf numFmtId="10" fontId="20" fillId="7" borderId="33" xfId="1" applyNumberFormat="1" applyFont="1" applyFill="1" applyBorder="1" applyAlignment="1">
      <alignment horizontal="center"/>
    </xf>
    <xf numFmtId="10" fontId="20" fillId="6" borderId="56" xfId="1" applyNumberFormat="1" applyFont="1" applyFill="1" applyBorder="1" applyAlignment="1">
      <alignment horizontal="center"/>
    </xf>
    <xf numFmtId="0" fontId="20" fillId="7" borderId="45" xfId="1" applyFont="1" applyFill="1" applyBorder="1" applyAlignment="1">
      <alignment horizontal="center"/>
    </xf>
    <xf numFmtId="165" fontId="18" fillId="2" borderId="0" xfId="1" applyNumberFormat="1" applyFont="1" applyFill="1" applyAlignment="1">
      <alignment horizontal="center"/>
    </xf>
    <xf numFmtId="0" fontId="29" fillId="3" borderId="0" xfId="1" applyFont="1" applyFill="1" applyAlignment="1" applyProtection="1">
      <alignment horizontal="center"/>
      <protection locked="0"/>
    </xf>
    <xf numFmtId="0" fontId="18" fillId="2" borderId="46" xfId="1" applyFont="1" applyFill="1" applyBorder="1" applyAlignment="1">
      <alignment horizontal="center"/>
    </xf>
    <xf numFmtId="0" fontId="18" fillId="2" borderId="40" xfId="1" applyFont="1" applyFill="1" applyBorder="1" applyAlignment="1">
      <alignment horizontal="center"/>
    </xf>
    <xf numFmtId="0" fontId="18" fillId="2" borderId="10" xfId="1" applyFont="1" applyFill="1" applyBorder="1" applyAlignment="1">
      <alignment horizontal="center"/>
    </xf>
    <xf numFmtId="0" fontId="19" fillId="2" borderId="47" xfId="1" applyFont="1" applyFill="1" applyBorder="1" applyAlignment="1">
      <alignment horizontal="center"/>
    </xf>
    <xf numFmtId="0" fontId="19" fillId="2" borderId="7" xfId="1" applyFont="1" applyFill="1" applyBorder="1" applyAlignment="1">
      <alignment horizontal="center"/>
    </xf>
    <xf numFmtId="170" fontId="20" fillId="3" borderId="34" xfId="1" applyNumberFormat="1" applyFont="1" applyFill="1" applyBorder="1" applyAlignment="1" applyProtection="1">
      <alignment horizontal="center"/>
      <protection locked="0"/>
    </xf>
    <xf numFmtId="1" fontId="18" fillId="6" borderId="48" xfId="1" applyNumberFormat="1" applyFont="1" applyFill="1" applyBorder="1" applyAlignment="1">
      <alignment horizontal="center"/>
    </xf>
    <xf numFmtId="1" fontId="18" fillId="6" borderId="49" xfId="1" applyNumberFormat="1" applyFont="1" applyFill="1" applyBorder="1" applyAlignment="1">
      <alignment horizontal="center"/>
    </xf>
    <xf numFmtId="1" fontId="18" fillId="6" borderId="15" xfId="1" applyNumberFormat="1" applyFont="1" applyFill="1" applyBorder="1" applyAlignment="1">
      <alignment horizontal="center"/>
    </xf>
    <xf numFmtId="2" fontId="14" fillId="2" borderId="0" xfId="1" applyNumberFormat="1" applyFont="1" applyFill="1" applyAlignment="1">
      <alignment horizontal="center"/>
    </xf>
    <xf numFmtId="0" fontId="18" fillId="2" borderId="0" xfId="1" applyFont="1" applyFill="1" applyAlignment="1">
      <alignment horizontal="center" wrapText="1"/>
    </xf>
    <xf numFmtId="10" fontId="19" fillId="2" borderId="0" xfId="1" applyNumberFormat="1" applyFont="1" applyFill="1" applyAlignment="1">
      <alignment horizontal="center"/>
    </xf>
    <xf numFmtId="10" fontId="18" fillId="6" borderId="41" xfId="1" applyNumberFormat="1" applyFont="1" applyFill="1" applyBorder="1" applyAlignment="1">
      <alignment horizontal="center"/>
    </xf>
    <xf numFmtId="0" fontId="18" fillId="7" borderId="17" xfId="1" applyFont="1" applyFill="1" applyBorder="1" applyAlignment="1">
      <alignment horizontal="center"/>
    </xf>
    <xf numFmtId="0" fontId="18" fillId="2" borderId="53" xfId="1" applyFont="1" applyFill="1" applyBorder="1" applyAlignment="1">
      <alignment horizontal="center"/>
    </xf>
    <xf numFmtId="0" fontId="18" fillId="2" borderId="54" xfId="1" applyFont="1" applyFill="1" applyBorder="1"/>
    <xf numFmtId="0" fontId="18" fillId="2" borderId="22" xfId="1" applyFont="1" applyFill="1" applyBorder="1" applyAlignment="1">
      <alignment horizontal="center" wrapText="1"/>
    </xf>
    <xf numFmtId="0" fontId="19" fillId="2" borderId="23" xfId="1" applyFont="1" applyFill="1" applyBorder="1" applyAlignment="1">
      <alignment horizontal="center"/>
    </xf>
    <xf numFmtId="1" fontId="20" fillId="3" borderId="31" xfId="1" applyNumberFormat="1" applyFont="1" applyFill="1" applyBorder="1" applyAlignment="1" applyProtection="1">
      <alignment horizontal="center"/>
      <protection locked="0"/>
    </xf>
    <xf numFmtId="2" fontId="19" fillId="2" borderId="26" xfId="1" applyNumberFormat="1" applyFont="1" applyFill="1" applyBorder="1" applyAlignment="1">
      <alignment horizontal="center"/>
    </xf>
    <xf numFmtId="10" fontId="19" fillId="2" borderId="30" xfId="1" applyNumberFormat="1" applyFont="1" applyFill="1" applyBorder="1" applyAlignment="1">
      <alignment horizontal="center"/>
    </xf>
    <xf numFmtId="2" fontId="19" fillId="2" borderId="31" xfId="1" applyNumberFormat="1" applyFont="1" applyFill="1" applyBorder="1" applyAlignment="1">
      <alignment horizontal="center"/>
    </xf>
    <xf numFmtId="10" fontId="19" fillId="2" borderId="32" xfId="1" applyNumberFormat="1" applyFont="1" applyFill="1" applyBorder="1" applyAlignment="1">
      <alignment horizontal="center"/>
    </xf>
    <xf numFmtId="0" fontId="19" fillId="2" borderId="34" xfId="1" applyFont="1" applyFill="1" applyBorder="1" applyAlignment="1">
      <alignment horizontal="center"/>
    </xf>
    <xf numFmtId="1" fontId="20" fillId="3" borderId="35" xfId="1" applyNumberFormat="1" applyFont="1" applyFill="1" applyBorder="1" applyAlignment="1" applyProtection="1">
      <alignment horizontal="center"/>
      <protection locked="0"/>
    </xf>
    <xf numFmtId="2" fontId="19" fillId="2" borderId="35" xfId="1" applyNumberFormat="1" applyFont="1" applyFill="1" applyBorder="1" applyAlignment="1">
      <alignment horizontal="center"/>
    </xf>
    <xf numFmtId="10" fontId="19" fillId="2" borderId="36" xfId="1" applyNumberFormat="1" applyFont="1" applyFill="1" applyBorder="1" applyAlignment="1">
      <alignment horizontal="center"/>
    </xf>
    <xf numFmtId="2" fontId="19" fillId="2" borderId="24" xfId="1" applyNumberFormat="1" applyFont="1" applyFill="1" applyBorder="1" applyAlignment="1">
      <alignment horizontal="center"/>
    </xf>
    <xf numFmtId="170" fontId="18" fillId="2" borderId="0" xfId="1" applyNumberFormat="1" applyFont="1" applyFill="1" applyAlignment="1">
      <alignment horizontal="center"/>
    </xf>
    <xf numFmtId="170" fontId="19" fillId="2" borderId="2" xfId="1" applyNumberFormat="1" applyFont="1" applyFill="1" applyBorder="1" applyAlignment="1">
      <alignment horizontal="right"/>
    </xf>
    <xf numFmtId="10" fontId="20" fillId="7" borderId="27" xfId="1" applyNumberFormat="1" applyFont="1" applyFill="1" applyBorder="1" applyAlignment="1">
      <alignment horizontal="center"/>
    </xf>
    <xf numFmtId="0" fontId="19" fillId="2" borderId="23" xfId="1" applyFont="1" applyFill="1" applyBorder="1"/>
    <xf numFmtId="0" fontId="19" fillId="2" borderId="6" xfId="1" applyFont="1" applyFill="1" applyBorder="1"/>
    <xf numFmtId="10" fontId="20" fillId="6" borderId="27" xfId="1" applyNumberFormat="1" applyFont="1" applyFill="1" applyBorder="1" applyAlignment="1">
      <alignment horizontal="center"/>
    </xf>
    <xf numFmtId="0" fontId="19" fillId="2" borderId="42" xfId="1" applyFont="1" applyFill="1" applyBorder="1"/>
    <xf numFmtId="0" fontId="19" fillId="2" borderId="58" xfId="1" applyFont="1" applyFill="1" applyBorder="1" applyAlignment="1">
      <alignment horizontal="center"/>
    </xf>
    <xf numFmtId="0" fontId="19" fillId="2" borderId="55" xfId="1" applyFont="1" applyFill="1" applyBorder="1" applyAlignment="1">
      <alignment horizontal="right"/>
    </xf>
    <xf numFmtId="0" fontId="20" fillId="7" borderId="17" xfId="1" applyFont="1" applyFill="1" applyBorder="1" applyAlignment="1">
      <alignment horizontal="center"/>
    </xf>
    <xf numFmtId="165" fontId="20" fillId="2" borderId="0" xfId="1" applyNumberFormat="1" applyFont="1" applyFill="1" applyAlignment="1">
      <alignment horizontal="center"/>
    </xf>
    <xf numFmtId="0" fontId="28" fillId="3" borderId="22" xfId="1" applyFont="1" applyFill="1" applyBorder="1" applyAlignment="1" applyProtection="1">
      <alignment horizontal="center"/>
      <protection locked="0"/>
    </xf>
    <xf numFmtId="0" fontId="28" fillId="3" borderId="24" xfId="1" applyFont="1" applyFill="1" applyBorder="1" applyAlignment="1" applyProtection="1">
      <alignment horizontal="center"/>
      <protection locked="0"/>
    </xf>
    <xf numFmtId="2" fontId="19" fillId="2" borderId="4" xfId="1" applyNumberFormat="1" applyFont="1" applyFill="1" applyBorder="1" applyAlignment="1">
      <alignment horizontal="center"/>
    </xf>
    <xf numFmtId="10" fontId="19" fillId="2" borderId="28" xfId="1" applyNumberFormat="1" applyFont="1" applyFill="1" applyBorder="1" applyAlignment="1">
      <alignment horizontal="center"/>
    </xf>
    <xf numFmtId="2" fontId="19" fillId="2" borderId="3" xfId="1" applyNumberFormat="1" applyFont="1" applyFill="1" applyBorder="1" applyAlignment="1">
      <alignment horizontal="center"/>
    </xf>
    <xf numFmtId="10" fontId="19" fillId="2" borderId="24" xfId="1" applyNumberFormat="1" applyFont="1" applyFill="1" applyBorder="1" applyAlignment="1">
      <alignment horizontal="center"/>
    </xf>
    <xf numFmtId="2" fontId="19" fillId="2" borderId="5" xfId="1" applyNumberFormat="1" applyFont="1" applyFill="1" applyBorder="1" applyAlignment="1">
      <alignment horizontal="center"/>
    </xf>
    <xf numFmtId="10" fontId="19" fillId="2" borderId="33" xfId="1" applyNumberFormat="1" applyFont="1" applyFill="1" applyBorder="1" applyAlignment="1">
      <alignment horizontal="center"/>
    </xf>
    <xf numFmtId="0" fontId="19" fillId="2" borderId="24" xfId="1" applyFont="1" applyFill="1" applyBorder="1" applyAlignment="1" applyProtection="1">
      <alignment horizontal="center"/>
      <protection locked="0"/>
    </xf>
    <xf numFmtId="0" fontId="21" fillId="2" borderId="9" xfId="1" applyFont="1" applyFill="1" applyBorder="1" applyAlignment="1">
      <alignment horizontal="left" vertical="center" wrapText="1"/>
    </xf>
    <xf numFmtId="0" fontId="19" fillId="2" borderId="9" xfId="1" applyFont="1" applyFill="1" applyBorder="1"/>
    <xf numFmtId="0" fontId="19" fillId="2" borderId="10" xfId="1" applyFont="1" applyFill="1" applyBorder="1" applyAlignment="1">
      <alignment horizontal="center"/>
    </xf>
    <xf numFmtId="0" fontId="19" fillId="2" borderId="7" xfId="1" applyFont="1" applyFill="1" applyBorder="1" applyProtection="1">
      <protection locked="0"/>
    </xf>
    <xf numFmtId="0" fontId="19" fillId="2" borderId="7" xfId="1" applyFont="1" applyFill="1" applyBorder="1"/>
    <xf numFmtId="0" fontId="18" fillId="2" borderId="11" xfId="1" applyFont="1" applyFill="1" applyBorder="1" applyProtection="1">
      <protection locked="0"/>
    </xf>
    <xf numFmtId="0" fontId="18" fillId="2" borderId="11" xfId="1" applyFont="1" applyFill="1" applyBorder="1"/>
    <xf numFmtId="0" fontId="19" fillId="2" borderId="11" xfId="1" applyFont="1" applyFill="1" applyBorder="1"/>
    <xf numFmtId="0" fontId="21" fillId="2" borderId="21" xfId="1" applyFont="1" applyFill="1" applyBorder="1" applyAlignment="1">
      <alignment horizontal="center" vertical="center" wrapText="1"/>
    </xf>
    <xf numFmtId="0" fontId="21" fillId="2" borderId="22" xfId="1" applyFont="1" applyFill="1" applyBorder="1" applyAlignment="1">
      <alignment horizontal="center" vertical="center" wrapText="1"/>
    </xf>
    <xf numFmtId="0" fontId="21" fillId="2" borderId="42" xfId="1" applyFont="1" applyFill="1" applyBorder="1" applyAlignment="1">
      <alignment horizontal="center" vertical="center" wrapText="1"/>
    </xf>
    <xf numFmtId="0" fontId="21" fillId="2" borderId="43" xfId="1" applyFont="1" applyFill="1" applyBorder="1" applyAlignment="1">
      <alignment horizontal="center" vertical="center" wrapText="1"/>
    </xf>
    <xf numFmtId="0" fontId="18" fillId="2" borderId="10" xfId="1" applyFont="1" applyFill="1" applyBorder="1" applyAlignment="1">
      <alignment horizontal="center"/>
    </xf>
    <xf numFmtId="0" fontId="20" fillId="3" borderId="0" xfId="1" applyFont="1" applyFill="1" applyAlignment="1" applyProtection="1">
      <alignment horizontal="left"/>
      <protection locked="0"/>
    </xf>
    <xf numFmtId="0" fontId="21" fillId="2" borderId="18" xfId="1" applyFont="1" applyFill="1" applyBorder="1" applyAlignment="1">
      <alignment horizontal="justify" vertical="center" wrapText="1"/>
    </xf>
    <xf numFmtId="0" fontId="21" fillId="2" borderId="19" xfId="1" applyFont="1" applyFill="1" applyBorder="1" applyAlignment="1">
      <alignment horizontal="justify" vertical="center" wrapText="1"/>
    </xf>
    <xf numFmtId="0" fontId="21" fillId="2" borderId="20" xfId="1" applyFont="1" applyFill="1" applyBorder="1" applyAlignment="1">
      <alignment horizontal="justify" vertical="center" wrapText="1"/>
    </xf>
    <xf numFmtId="0" fontId="21" fillId="2" borderId="18" xfId="1" applyFont="1" applyFill="1" applyBorder="1" applyAlignment="1">
      <alignment horizontal="left" vertical="center" wrapText="1"/>
    </xf>
    <xf numFmtId="0" fontId="21" fillId="2" borderId="19" xfId="1" applyFont="1" applyFill="1" applyBorder="1" applyAlignment="1">
      <alignment horizontal="left" vertical="center" wrapText="1"/>
    </xf>
    <xf numFmtId="0" fontId="21" fillId="2" borderId="20" xfId="1" applyFont="1" applyFill="1" applyBorder="1" applyAlignment="1">
      <alignment horizontal="left" vertical="center" wrapText="1"/>
    </xf>
    <xf numFmtId="0" fontId="18" fillId="2" borderId="46" xfId="1" applyFont="1" applyFill="1" applyBorder="1" applyAlignment="1">
      <alignment horizontal="center"/>
    </xf>
    <xf numFmtId="0" fontId="18" fillId="2" borderId="57" xfId="1" applyFont="1" applyFill="1" applyBorder="1" applyAlignment="1">
      <alignment horizontal="center"/>
    </xf>
    <xf numFmtId="0" fontId="21" fillId="2" borderId="21" xfId="1" applyFont="1" applyFill="1" applyBorder="1" applyAlignment="1">
      <alignment horizontal="left" vertical="center" wrapText="1"/>
    </xf>
    <xf numFmtId="0" fontId="21" fillId="2" borderId="10" xfId="1" applyFont="1" applyFill="1" applyBorder="1" applyAlignment="1">
      <alignment horizontal="left" vertical="center" wrapText="1"/>
    </xf>
    <xf numFmtId="0" fontId="21" fillId="2" borderId="42" xfId="1" applyFont="1" applyFill="1" applyBorder="1" applyAlignment="1">
      <alignment horizontal="left" vertical="center" wrapText="1"/>
    </xf>
    <xf numFmtId="0" fontId="21" fillId="2" borderId="9" xfId="1" applyFont="1" applyFill="1" applyBorder="1" applyAlignment="1">
      <alignment horizontal="left" vertical="center" wrapText="1"/>
    </xf>
    <xf numFmtId="0" fontId="21" fillId="2" borderId="22" xfId="1" applyFont="1" applyFill="1" applyBorder="1" applyAlignment="1">
      <alignment horizontal="left" vertical="center" wrapText="1"/>
    </xf>
    <xf numFmtId="0" fontId="21" fillId="2" borderId="43" xfId="1" applyFont="1" applyFill="1" applyBorder="1" applyAlignment="1">
      <alignment horizontal="left" vertical="center" wrapText="1"/>
    </xf>
    <xf numFmtId="0" fontId="18" fillId="2" borderId="0" xfId="1" applyFont="1" applyFill="1" applyAlignment="1">
      <alignment horizontal="center"/>
    </xf>
    <xf numFmtId="0" fontId="18" fillId="2" borderId="40" xfId="1" applyFont="1" applyFill="1" applyBorder="1" applyAlignment="1">
      <alignment horizontal="center"/>
    </xf>
    <xf numFmtId="0" fontId="18" fillId="2" borderId="10" xfId="1" applyFont="1" applyFill="1" applyBorder="1" applyAlignment="1">
      <alignment horizontal="center" vertical="center"/>
    </xf>
    <xf numFmtId="0" fontId="18" fillId="2" borderId="0" xfId="1" applyFont="1" applyFill="1" applyAlignment="1">
      <alignment horizontal="center" vertical="center"/>
    </xf>
    <xf numFmtId="0" fontId="18" fillId="2" borderId="9" xfId="1" applyFont="1" applyFill="1" applyBorder="1" applyAlignment="1">
      <alignment horizontal="center" vertical="center"/>
    </xf>
    <xf numFmtId="2" fontId="20" fillId="3" borderId="13" xfId="1" applyNumberFormat="1" applyFont="1" applyFill="1" applyBorder="1" applyAlignment="1" applyProtection="1">
      <alignment horizontal="center" vertical="center"/>
      <protection locked="0"/>
    </xf>
    <xf numFmtId="2" fontId="20" fillId="3" borderId="14" xfId="1" applyNumberFormat="1" applyFont="1" applyFill="1" applyBorder="1" applyAlignment="1" applyProtection="1">
      <alignment horizontal="center" vertical="center"/>
      <protection locked="0"/>
    </xf>
    <xf numFmtId="2" fontId="20" fillId="3" borderId="15" xfId="1" applyNumberFormat="1" applyFont="1" applyFill="1" applyBorder="1" applyAlignment="1" applyProtection="1">
      <alignment horizontal="center" vertical="center"/>
      <protection locked="0"/>
    </xf>
    <xf numFmtId="0" fontId="18" fillId="2" borderId="42" xfId="1" applyFont="1" applyFill="1" applyBorder="1" applyAlignment="1">
      <alignment horizontal="center" vertical="center"/>
    </xf>
    <xf numFmtId="0" fontId="13" fillId="2" borderId="0" xfId="1" applyFont="1" applyFill="1" applyAlignment="1">
      <alignment horizontal="center" vertical="center"/>
    </xf>
    <xf numFmtId="0" fontId="15" fillId="2" borderId="0" xfId="1" applyFont="1" applyFill="1" applyAlignment="1">
      <alignment horizontal="center" vertical="center"/>
    </xf>
    <xf numFmtId="0" fontId="16" fillId="2" borderId="18" xfId="1" applyFont="1" applyFill="1" applyBorder="1" applyAlignment="1">
      <alignment horizontal="center"/>
    </xf>
    <xf numFmtId="0" fontId="16" fillId="2" borderId="19" xfId="1" applyFont="1" applyFill="1" applyBorder="1" applyAlignment="1">
      <alignment horizontal="center"/>
    </xf>
    <xf numFmtId="0" fontId="16" fillId="2" borderId="20" xfId="1" applyFont="1" applyFill="1" applyBorder="1" applyAlignment="1">
      <alignment horizontal="center"/>
    </xf>
    <xf numFmtId="0" fontId="18" fillId="3" borderId="0" xfId="1" applyFont="1" applyFill="1" applyAlignment="1" applyProtection="1">
      <alignment horizontal="left"/>
      <protection locked="0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2" borderId="0" xfId="1" applyFont="1" applyFill="1"/>
    <xf numFmtId="0" fontId="2" fillId="2" borderId="11" xfId="1" applyFont="1" applyFill="1" applyBorder="1"/>
    <xf numFmtId="0" fontId="1" fillId="2" borderId="11" xfId="1" applyFont="1" applyFill="1" applyBorder="1"/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10" fontId="2" fillId="2" borderId="9" xfId="1" applyNumberFormat="1" applyFont="1" applyFill="1" applyBorder="1"/>
    <xf numFmtId="0" fontId="6" fillId="2" borderId="0" xfId="1" applyFont="1" applyFill="1"/>
    <xf numFmtId="0" fontId="2" fillId="2" borderId="9" xfId="1" applyFont="1" applyFill="1" applyBorder="1"/>
    <xf numFmtId="0" fontId="6" fillId="2" borderId="0" xfId="1" applyFont="1" applyFill="1" applyProtection="1">
      <protection locked="0"/>
    </xf>
    <xf numFmtId="0" fontId="6" fillId="2" borderId="0" xfId="1" applyFont="1" applyFill="1" applyAlignment="1" applyProtection="1">
      <alignment horizontal="left"/>
      <protection locked="0"/>
    </xf>
    <xf numFmtId="0" fontId="5" fillId="2" borderId="0" xfId="1" applyFont="1" applyFill="1"/>
    <xf numFmtId="0" fontId="6" fillId="2" borderId="8" xfId="1" applyFont="1" applyFill="1" applyBorder="1"/>
    <xf numFmtId="0" fontId="6" fillId="2" borderId="7" xfId="1" applyFont="1" applyFill="1" applyBorder="1"/>
    <xf numFmtId="0" fontId="5" fillId="2" borderId="7" xfId="1" applyFont="1" applyFill="1" applyBorder="1" applyAlignment="1">
      <alignment horizontal="center"/>
    </xf>
    <xf numFmtId="0" fontId="5" fillId="4" borderId="1" xfId="1" applyFont="1" applyFill="1" applyBorder="1" applyAlignment="1">
      <alignment horizontal="center"/>
    </xf>
    <xf numFmtId="0" fontId="6" fillId="2" borderId="5" xfId="1" applyFont="1" applyFill="1" applyBorder="1"/>
    <xf numFmtId="0" fontId="6" fillId="2" borderId="6" xfId="1" applyFont="1" applyFill="1" applyBorder="1"/>
    <xf numFmtId="165" fontId="5" fillId="2" borderId="0" xfId="1" applyNumberFormat="1" applyFont="1" applyFill="1" applyAlignment="1">
      <alignment horizontal="center"/>
    </xf>
    <xf numFmtId="10" fontId="5" fillId="5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2" fontId="5" fillId="4" borderId="1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1" fontId="5" fillId="4" borderId="2" xfId="1" applyNumberFormat="1" applyFont="1" applyFill="1" applyBorder="1" applyAlignment="1">
      <alignment horizontal="center"/>
    </xf>
    <xf numFmtId="0" fontId="6" fillId="2" borderId="4" xfId="1" applyFont="1" applyFill="1" applyBorder="1"/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0" fontId="6" fillId="2" borderId="3" xfId="1" applyFont="1" applyFill="1" applyBorder="1" applyAlignment="1">
      <alignment horizontal="center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left"/>
    </xf>
    <xf numFmtId="2" fontId="5" fillId="2" borderId="0" xfId="1" applyNumberFormat="1" applyFont="1" applyFill="1" applyAlignment="1">
      <alignment horizontal="center"/>
    </xf>
    <xf numFmtId="0" fontId="4" fillId="2" borderId="0" xfId="1" applyFont="1" applyFill="1" applyAlignment="1">
      <alignment horizontal="left"/>
    </xf>
    <xf numFmtId="0" fontId="4" fillId="2" borderId="0" xfId="1" applyFont="1" applyFill="1"/>
    <xf numFmtId="0" fontId="5" fillId="2" borderId="0" xfId="1" applyFont="1" applyFill="1" applyAlignment="1">
      <alignment horizontal="center"/>
    </xf>
    <xf numFmtId="0" fontId="3" fillId="2" borderId="0" xfId="1" applyFont="1" applyFill="1" applyAlignment="1">
      <alignment horizontal="center"/>
    </xf>
    <xf numFmtId="0" fontId="2" fillId="2" borderId="0" xfId="1" applyFont="1" applyFill="1" applyAlignment="1">
      <alignment horizontal="right"/>
    </xf>
    <xf numFmtId="0" fontId="1" fillId="2" borderId="0" xfId="1" applyFont="1" applyFill="1"/>
    <xf numFmtId="0" fontId="12" fillId="2" borderId="0" xfId="2" applyFill="1"/>
    <xf numFmtId="0" fontId="2" fillId="2" borderId="0" xfId="2" applyFont="1" applyFill="1"/>
    <xf numFmtId="0" fontId="2" fillId="2" borderId="11" xfId="2" applyFont="1" applyFill="1" applyBorder="1"/>
    <xf numFmtId="0" fontId="1" fillId="2" borderId="11" xfId="2" applyFont="1" applyFill="1" applyBorder="1"/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6" fillId="2" borderId="0" xfId="2" applyFont="1" applyFill="1" applyProtection="1">
      <protection locked="0"/>
    </xf>
    <xf numFmtId="0" fontId="6" fillId="2" borderId="0" xfId="2" applyFont="1" applyFill="1" applyAlignment="1" applyProtection="1">
      <alignment horizontal="left"/>
      <protection locked="0"/>
    </xf>
    <xf numFmtId="0" fontId="5" fillId="2" borderId="0" xfId="2" applyFont="1" applyFill="1"/>
    <xf numFmtId="0" fontId="6" fillId="2" borderId="8" xfId="2" applyFont="1" applyFill="1" applyBorder="1"/>
    <xf numFmtId="0" fontId="6" fillId="2" borderId="7" xfId="2" applyFont="1" applyFill="1" applyBorder="1"/>
    <xf numFmtId="0" fontId="5" fillId="2" borderId="7" xfId="2" applyFont="1" applyFill="1" applyBorder="1" applyAlignment="1">
      <alignment horizontal="center"/>
    </xf>
    <xf numFmtId="0" fontId="5" fillId="4" borderId="1" xfId="2" applyFont="1" applyFill="1" applyBorder="1" applyAlignment="1">
      <alignment horizontal="center"/>
    </xf>
    <xf numFmtId="0" fontId="6" fillId="2" borderId="5" xfId="2" applyFont="1" applyFill="1" applyBorder="1"/>
    <xf numFmtId="0" fontId="6" fillId="2" borderId="6" xfId="2" applyFont="1" applyFill="1" applyBorder="1"/>
    <xf numFmtId="165" fontId="5" fillId="2" borderId="0" xfId="2" applyNumberFormat="1" applyFont="1" applyFill="1" applyAlignment="1">
      <alignment horizontal="center"/>
    </xf>
    <xf numFmtId="10" fontId="5" fillId="5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2" fontId="5" fillId="4" borderId="1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1" fontId="5" fillId="4" borderId="2" xfId="2" applyNumberFormat="1" applyFont="1" applyFill="1" applyBorder="1" applyAlignment="1">
      <alignment horizontal="center"/>
    </xf>
    <xf numFmtId="0" fontId="6" fillId="2" borderId="4" xfId="2" applyFont="1" applyFill="1" applyBorder="1"/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0" fontId="6" fillId="2" borderId="3" xfId="2" applyFont="1" applyFill="1" applyBorder="1" applyAlignment="1">
      <alignment horizontal="center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0" xfId="2" applyFont="1" applyFill="1"/>
    <xf numFmtId="164" fontId="5" fillId="2" borderId="0" xfId="2" applyNumberFormat="1" applyFont="1" applyFill="1" applyAlignment="1">
      <alignment horizontal="center"/>
    </xf>
    <xf numFmtId="0" fontId="5" fillId="2" borderId="0" xfId="2" applyFont="1" applyFill="1" applyAlignment="1">
      <alignment horizontal="left"/>
    </xf>
    <xf numFmtId="2" fontId="5" fillId="2" borderId="0" xfId="2" applyNumberFormat="1" applyFont="1" applyFill="1" applyAlignment="1">
      <alignment horizontal="center"/>
    </xf>
    <xf numFmtId="0" fontId="4" fillId="2" borderId="0" xfId="2" applyFont="1" applyFill="1" applyAlignment="1">
      <alignment horizontal="left"/>
    </xf>
    <xf numFmtId="0" fontId="4" fillId="2" borderId="0" xfId="2" applyFont="1" applyFill="1"/>
    <xf numFmtId="0" fontId="5" fillId="2" borderId="0" xfId="2" applyFont="1" applyFill="1" applyAlignment="1">
      <alignment horizontal="center"/>
    </xf>
    <xf numFmtId="0" fontId="3" fillId="2" borderId="0" xfId="2" applyFont="1" applyFill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21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0" workbookViewId="0">
      <selection activeCell="C36" activeCellId="1" sqref="E25 C36"/>
    </sheetView>
  </sheetViews>
  <sheetFormatPr defaultRowHeight="13.5" x14ac:dyDescent="0.25"/>
  <cols>
    <col min="1" max="1" width="27.5703125" style="252" customWidth="1"/>
    <col min="2" max="2" width="20.42578125" style="252" customWidth="1"/>
    <col min="3" max="3" width="31.85546875" style="252" customWidth="1"/>
    <col min="4" max="4" width="25.85546875" style="252" customWidth="1"/>
    <col min="5" max="5" width="25.7109375" style="252" customWidth="1"/>
    <col min="6" max="6" width="24.85546875" style="252" customWidth="1"/>
    <col min="7" max="7" width="28.42578125" style="252" customWidth="1"/>
    <col min="8" max="8" width="21.5703125" style="252" customWidth="1"/>
    <col min="9" max="9" width="9.140625" style="252" customWidth="1"/>
    <col min="10" max="16384" width="9.140625" style="50"/>
  </cols>
  <sheetData>
    <row r="14" spans="1:6" ht="15" customHeight="1" x14ac:dyDescent="0.3">
      <c r="A14" s="295"/>
      <c r="C14" s="294"/>
      <c r="F14" s="294"/>
    </row>
    <row r="15" spans="1:6" ht="18.75" customHeight="1" x14ac:dyDescent="0.3">
      <c r="A15" s="293" t="s">
        <v>0</v>
      </c>
      <c r="B15" s="293"/>
      <c r="C15" s="293"/>
      <c r="D15" s="293"/>
      <c r="E15" s="293"/>
    </row>
    <row r="16" spans="1:6" ht="16.5" customHeight="1" x14ac:dyDescent="0.3">
      <c r="A16" s="291" t="s">
        <v>1</v>
      </c>
      <c r="B16" s="290" t="s">
        <v>125</v>
      </c>
    </row>
    <row r="17" spans="1:5" ht="16.5" customHeight="1" x14ac:dyDescent="0.3">
      <c r="A17" s="288" t="s">
        <v>2</v>
      </c>
      <c r="B17" s="288" t="s">
        <v>4</v>
      </c>
      <c r="D17" s="292"/>
      <c r="E17" s="261"/>
    </row>
    <row r="18" spans="1:5" ht="16.5" customHeight="1" x14ac:dyDescent="0.3">
      <c r="A18" s="265" t="s">
        <v>3</v>
      </c>
      <c r="B18" s="288" t="s">
        <v>126</v>
      </c>
      <c r="C18" s="261"/>
      <c r="D18" s="261"/>
      <c r="E18" s="261"/>
    </row>
    <row r="19" spans="1:5" ht="16.5" customHeight="1" x14ac:dyDescent="0.3">
      <c r="A19" s="265" t="s">
        <v>5</v>
      </c>
      <c r="B19" s="289">
        <v>99.3</v>
      </c>
      <c r="C19" s="261"/>
      <c r="D19" s="261"/>
      <c r="E19" s="261"/>
    </row>
    <row r="20" spans="1:5" ht="16.5" customHeight="1" x14ac:dyDescent="0.3">
      <c r="A20" s="288" t="s">
        <v>7</v>
      </c>
      <c r="B20" s="289">
        <v>31.32</v>
      </c>
      <c r="C20" s="261"/>
      <c r="D20" s="261"/>
      <c r="E20" s="261"/>
    </row>
    <row r="21" spans="1:5" ht="16.5" customHeight="1" x14ac:dyDescent="0.3">
      <c r="A21" s="288" t="s">
        <v>9</v>
      </c>
      <c r="B21" s="287">
        <v>0.31319999999999998</v>
      </c>
      <c r="C21" s="261"/>
      <c r="D21" s="261"/>
      <c r="E21" s="261"/>
    </row>
    <row r="22" spans="1:5" ht="15.75" customHeight="1" x14ac:dyDescent="0.25">
      <c r="A22" s="261"/>
      <c r="B22" s="261"/>
      <c r="C22" s="261"/>
      <c r="D22" s="261"/>
      <c r="E22" s="261"/>
    </row>
    <row r="23" spans="1:5" ht="16.5" customHeight="1" x14ac:dyDescent="0.3">
      <c r="A23" s="285" t="s">
        <v>12</v>
      </c>
      <c r="B23" s="286" t="s">
        <v>13</v>
      </c>
      <c r="C23" s="285" t="s">
        <v>14</v>
      </c>
      <c r="D23" s="285" t="s">
        <v>15</v>
      </c>
      <c r="E23" s="285" t="s">
        <v>16</v>
      </c>
    </row>
    <row r="24" spans="1:5" ht="16.5" customHeight="1" x14ac:dyDescent="0.3">
      <c r="A24" s="281">
        <v>1</v>
      </c>
      <c r="B24" s="283">
        <v>127456334</v>
      </c>
      <c r="C24" s="283">
        <v>4610</v>
      </c>
      <c r="D24" s="282">
        <v>1.01</v>
      </c>
      <c r="E24" s="284">
        <v>5.1100000000000003</v>
      </c>
    </row>
    <row r="25" spans="1:5" ht="16.5" customHeight="1" x14ac:dyDescent="0.3">
      <c r="A25" s="281">
        <v>2</v>
      </c>
      <c r="B25" s="283">
        <v>127996639</v>
      </c>
      <c r="C25" s="283">
        <v>4595</v>
      </c>
      <c r="D25" s="282">
        <v>1.01</v>
      </c>
      <c r="E25" s="282">
        <v>5.09</v>
      </c>
    </row>
    <row r="26" spans="1:5" ht="16.5" customHeight="1" x14ac:dyDescent="0.3">
      <c r="A26" s="281">
        <v>3</v>
      </c>
      <c r="B26" s="283">
        <v>128596861</v>
      </c>
      <c r="C26" s="283">
        <v>4583</v>
      </c>
      <c r="D26" s="282">
        <v>1.01</v>
      </c>
      <c r="E26" s="282">
        <v>5.0999999999999996</v>
      </c>
    </row>
    <row r="27" spans="1:5" ht="16.5" customHeight="1" x14ac:dyDescent="0.3">
      <c r="A27" s="281">
        <v>4</v>
      </c>
      <c r="B27" s="283">
        <v>128094260</v>
      </c>
      <c r="C27" s="283">
        <v>4599</v>
      </c>
      <c r="D27" s="282">
        <v>1.03</v>
      </c>
      <c r="E27" s="282">
        <v>5.1100000000000003</v>
      </c>
    </row>
    <row r="28" spans="1:5" ht="16.5" customHeight="1" x14ac:dyDescent="0.3">
      <c r="A28" s="281">
        <v>5</v>
      </c>
      <c r="B28" s="283">
        <v>128042297</v>
      </c>
      <c r="C28" s="283">
        <v>4632</v>
      </c>
      <c r="D28" s="282">
        <v>1.01</v>
      </c>
      <c r="E28" s="282">
        <v>5.12</v>
      </c>
    </row>
    <row r="29" spans="1:5" ht="16.5" customHeight="1" x14ac:dyDescent="0.3">
      <c r="A29" s="281">
        <v>6</v>
      </c>
      <c r="B29" s="280">
        <v>128242543</v>
      </c>
      <c r="C29" s="280">
        <v>4630</v>
      </c>
      <c r="D29" s="279">
        <v>1.03</v>
      </c>
      <c r="E29" s="279">
        <v>5.13</v>
      </c>
    </row>
    <row r="30" spans="1:5" ht="16.5" customHeight="1" x14ac:dyDescent="0.3">
      <c r="A30" s="278" t="s">
        <v>17</v>
      </c>
      <c r="B30" s="277">
        <f>AVERAGE(B24:B29)</f>
        <v>128071489</v>
      </c>
      <c r="C30" s="276">
        <f>AVERAGE(C24:C29)</f>
        <v>4608.166666666667</v>
      </c>
      <c r="D30" s="275">
        <f>AVERAGE(D24:D29)</f>
        <v>1.0166666666666668</v>
      </c>
      <c r="E30" s="275">
        <f>AVERAGE(E24:E29)</f>
        <v>5.1100000000000003</v>
      </c>
    </row>
    <row r="31" spans="1:5" ht="16.5" customHeight="1" x14ac:dyDescent="0.3">
      <c r="A31" s="274" t="s">
        <v>18</v>
      </c>
      <c r="B31" s="273">
        <f>(STDEV(B24:B29)/B30)</f>
        <v>2.9019904528817609E-3</v>
      </c>
      <c r="C31" s="272"/>
      <c r="D31" s="272"/>
      <c r="E31" s="271"/>
    </row>
    <row r="32" spans="1:5" s="252" customFormat="1" ht="16.5" customHeight="1" x14ac:dyDescent="0.3">
      <c r="A32" s="270" t="s">
        <v>19</v>
      </c>
      <c r="B32" s="269">
        <f>COUNT(B24:B29)</f>
        <v>6</v>
      </c>
      <c r="C32" s="268"/>
      <c r="D32" s="267"/>
      <c r="E32" s="266"/>
    </row>
    <row r="33" spans="1:6" s="252" customFormat="1" ht="15.75" customHeight="1" x14ac:dyDescent="0.25">
      <c r="A33" s="261"/>
      <c r="B33" s="261"/>
      <c r="C33" s="261"/>
      <c r="D33" s="261"/>
      <c r="E33" s="261"/>
    </row>
    <row r="34" spans="1:6" s="252" customFormat="1" ht="16.5" customHeight="1" x14ac:dyDescent="0.3">
      <c r="A34" s="265" t="s">
        <v>20</v>
      </c>
      <c r="B34" s="264" t="s">
        <v>21</v>
      </c>
      <c r="C34" s="263"/>
      <c r="D34" s="263"/>
      <c r="E34" s="263"/>
    </row>
    <row r="35" spans="1:6" ht="16.5" customHeight="1" x14ac:dyDescent="0.3">
      <c r="A35" s="265"/>
      <c r="B35" s="264" t="s">
        <v>22</v>
      </c>
      <c r="C35" s="263"/>
      <c r="D35" s="263"/>
      <c r="E35" s="263"/>
    </row>
    <row r="36" spans="1:6" ht="16.5" customHeight="1" x14ac:dyDescent="0.3">
      <c r="A36" s="265"/>
      <c r="B36" s="264" t="s">
        <v>23</v>
      </c>
      <c r="C36" s="263"/>
      <c r="D36" s="263"/>
      <c r="E36" s="263"/>
    </row>
    <row r="37" spans="1:6" ht="15.75" customHeight="1" x14ac:dyDescent="0.25">
      <c r="A37" s="261"/>
      <c r="C37" s="261"/>
      <c r="D37" s="261"/>
      <c r="E37" s="261"/>
    </row>
    <row r="38" spans="1:6" ht="16.5" customHeight="1" x14ac:dyDescent="0.3">
      <c r="A38" s="291" t="s">
        <v>1</v>
      </c>
      <c r="B38" s="290" t="s">
        <v>123</v>
      </c>
    </row>
    <row r="39" spans="1:6" ht="16.5" customHeight="1" x14ac:dyDescent="0.3">
      <c r="A39" s="265" t="s">
        <v>3</v>
      </c>
      <c r="B39" s="288" t="s">
        <v>122</v>
      </c>
      <c r="C39" s="261"/>
      <c r="D39" s="261"/>
      <c r="E39" s="261"/>
    </row>
    <row r="40" spans="1:6" ht="16.5" customHeight="1" x14ac:dyDescent="0.3">
      <c r="A40" s="265" t="s">
        <v>5</v>
      </c>
      <c r="B40" s="289">
        <v>99.4</v>
      </c>
      <c r="C40" s="261"/>
      <c r="D40" s="261"/>
      <c r="E40" s="261"/>
    </row>
    <row r="41" spans="1:6" ht="16.5" customHeight="1" x14ac:dyDescent="0.3">
      <c r="A41" s="288" t="s">
        <v>7</v>
      </c>
      <c r="B41" s="289">
        <v>11.46</v>
      </c>
      <c r="C41" s="261"/>
      <c r="D41" s="261"/>
      <c r="E41" s="261"/>
    </row>
    <row r="42" spans="1:6" ht="16.5" customHeight="1" x14ac:dyDescent="0.3">
      <c r="A42" s="288" t="s">
        <v>9</v>
      </c>
      <c r="B42" s="287">
        <v>0.11460000000000001</v>
      </c>
      <c r="C42" s="261"/>
      <c r="D42" s="261"/>
      <c r="E42" s="261"/>
    </row>
    <row r="43" spans="1:6" ht="15.75" customHeight="1" x14ac:dyDescent="0.25">
      <c r="A43" s="261"/>
      <c r="B43" s="261"/>
      <c r="C43" s="261"/>
      <c r="D43" s="261"/>
      <c r="E43" s="261"/>
    </row>
    <row r="44" spans="1:6" ht="16.5" customHeight="1" x14ac:dyDescent="0.3">
      <c r="A44" s="285" t="s">
        <v>12</v>
      </c>
      <c r="B44" s="286" t="s">
        <v>13</v>
      </c>
      <c r="C44" s="285" t="s">
        <v>14</v>
      </c>
      <c r="D44" s="285" t="s">
        <v>15</v>
      </c>
      <c r="E44" s="285" t="s">
        <v>16</v>
      </c>
      <c r="F44" s="285" t="s">
        <v>128</v>
      </c>
    </row>
    <row r="45" spans="1:6" ht="16.5" customHeight="1" x14ac:dyDescent="0.3">
      <c r="A45" s="281">
        <v>1</v>
      </c>
      <c r="B45" s="283">
        <v>50687138</v>
      </c>
      <c r="C45" s="283">
        <v>6448</v>
      </c>
      <c r="D45" s="282">
        <v>1.06</v>
      </c>
      <c r="E45" s="284">
        <v>7.08</v>
      </c>
      <c r="F45" s="284">
        <v>6.03</v>
      </c>
    </row>
    <row r="46" spans="1:6" ht="16.5" customHeight="1" x14ac:dyDescent="0.3">
      <c r="A46" s="281">
        <v>2</v>
      </c>
      <c r="B46" s="283">
        <v>50929329</v>
      </c>
      <c r="C46" s="283">
        <v>6429</v>
      </c>
      <c r="D46" s="282">
        <v>1.05</v>
      </c>
      <c r="E46" s="282">
        <v>7.06</v>
      </c>
      <c r="F46" s="282">
        <v>6.04</v>
      </c>
    </row>
    <row r="47" spans="1:6" ht="16.5" customHeight="1" x14ac:dyDescent="0.3">
      <c r="A47" s="281">
        <v>3</v>
      </c>
      <c r="B47" s="283">
        <v>51190481</v>
      </c>
      <c r="C47" s="283">
        <v>6408</v>
      </c>
      <c r="D47" s="282">
        <v>1.06</v>
      </c>
      <c r="E47" s="282">
        <v>7.08</v>
      </c>
      <c r="F47" s="282">
        <v>6.04</v>
      </c>
    </row>
    <row r="48" spans="1:6" ht="16.5" customHeight="1" x14ac:dyDescent="0.3">
      <c r="A48" s="281">
        <v>4</v>
      </c>
      <c r="B48" s="283">
        <v>50916228</v>
      </c>
      <c r="C48" s="283">
        <v>6448</v>
      </c>
      <c r="D48" s="282">
        <v>1.07</v>
      </c>
      <c r="E48" s="282">
        <v>7.1</v>
      </c>
      <c r="F48" s="282">
        <v>6.06</v>
      </c>
    </row>
    <row r="49" spans="1:7" ht="16.5" customHeight="1" x14ac:dyDescent="0.3">
      <c r="A49" s="281">
        <v>5</v>
      </c>
      <c r="B49" s="283">
        <v>50897384</v>
      </c>
      <c r="C49" s="283">
        <v>6452</v>
      </c>
      <c r="D49" s="282">
        <v>1.06</v>
      </c>
      <c r="E49" s="282">
        <v>7.11</v>
      </c>
      <c r="F49" s="282">
        <v>6.06</v>
      </c>
    </row>
    <row r="50" spans="1:7" ht="16.5" customHeight="1" x14ac:dyDescent="0.3">
      <c r="A50" s="281">
        <v>6</v>
      </c>
      <c r="B50" s="280">
        <v>50958442</v>
      </c>
      <c r="C50" s="280">
        <v>6455</v>
      </c>
      <c r="D50" s="279">
        <v>1.07</v>
      </c>
      <c r="E50" s="279">
        <v>7.11</v>
      </c>
      <c r="F50" s="279">
        <v>6.07</v>
      </c>
    </row>
    <row r="51" spans="1:7" ht="16.5" customHeight="1" x14ac:dyDescent="0.3">
      <c r="A51" s="278" t="s">
        <v>17</v>
      </c>
      <c r="B51" s="277">
        <f>AVERAGE(B45:B50)</f>
        <v>50929833.666666664</v>
      </c>
      <c r="C51" s="276">
        <f>AVERAGE(C45:C50)</f>
        <v>6440</v>
      </c>
      <c r="D51" s="275">
        <f>AVERAGE(D45:D50)</f>
        <v>1.0616666666666668</v>
      </c>
      <c r="E51" s="275">
        <f>AVERAGE(E45:E50)</f>
        <v>7.09</v>
      </c>
      <c r="F51" s="275">
        <f>AVERAGE(F45:F50)</f>
        <v>6.05</v>
      </c>
    </row>
    <row r="52" spans="1:7" ht="16.5" customHeight="1" x14ac:dyDescent="0.3">
      <c r="A52" s="274" t="s">
        <v>18</v>
      </c>
      <c r="B52" s="273">
        <f>(STDEV(B45:B50)/B51)</f>
        <v>3.1525412989717671E-3</v>
      </c>
      <c r="C52" s="272"/>
      <c r="D52" s="272"/>
      <c r="E52" s="271"/>
      <c r="F52" s="271"/>
    </row>
    <row r="53" spans="1:7" s="252" customFormat="1" ht="16.5" customHeight="1" x14ac:dyDescent="0.3">
      <c r="A53" s="270" t="s">
        <v>19</v>
      </c>
      <c r="B53" s="269">
        <f>COUNT(B45:B50)</f>
        <v>6</v>
      </c>
      <c r="C53" s="268"/>
      <c r="D53" s="267"/>
      <c r="E53" s="266"/>
      <c r="F53" s="266"/>
    </row>
    <row r="54" spans="1:7" s="252" customFormat="1" ht="15.75" customHeight="1" x14ac:dyDescent="0.25">
      <c r="A54" s="261"/>
      <c r="B54" s="261"/>
      <c r="C54" s="261"/>
      <c r="D54" s="261"/>
      <c r="E54" s="261"/>
    </row>
    <row r="55" spans="1:7" s="252" customFormat="1" ht="16.5" customHeight="1" x14ac:dyDescent="0.3">
      <c r="A55" s="265" t="s">
        <v>20</v>
      </c>
      <c r="B55" s="264" t="s">
        <v>21</v>
      </c>
      <c r="C55" s="263"/>
      <c r="D55" s="263"/>
      <c r="E55" s="263"/>
    </row>
    <row r="56" spans="1:7" ht="16.5" customHeight="1" x14ac:dyDescent="0.3">
      <c r="A56" s="265"/>
      <c r="B56" s="264" t="s">
        <v>22</v>
      </c>
      <c r="C56" s="263"/>
      <c r="D56" s="263"/>
      <c r="E56" s="263"/>
    </row>
    <row r="57" spans="1:7" ht="16.5" customHeight="1" x14ac:dyDescent="0.3">
      <c r="A57" s="265"/>
      <c r="B57" s="264" t="s">
        <v>23</v>
      </c>
      <c r="C57" s="263"/>
      <c r="D57" s="263"/>
      <c r="E57" s="263"/>
    </row>
    <row r="58" spans="1:7" ht="14.25" customHeight="1" thickBot="1" x14ac:dyDescent="0.35">
      <c r="A58" s="262"/>
      <c r="B58" s="261" t="s">
        <v>127</v>
      </c>
      <c r="D58" s="260"/>
      <c r="F58" s="50"/>
      <c r="G58" s="50"/>
    </row>
    <row r="59" spans="1:7" ht="15" customHeight="1" x14ac:dyDescent="0.3">
      <c r="B59" s="259" t="s">
        <v>24</v>
      </c>
      <c r="C59" s="259"/>
      <c r="E59" s="257" t="s">
        <v>25</v>
      </c>
      <c r="F59" s="258"/>
      <c r="G59" s="257" t="s">
        <v>26</v>
      </c>
    </row>
    <row r="60" spans="1:7" ht="15" customHeight="1" x14ac:dyDescent="0.3">
      <c r="A60" s="255" t="s">
        <v>27</v>
      </c>
      <c r="B60" s="256"/>
      <c r="C60" s="256"/>
      <c r="E60" s="256"/>
      <c r="G60" s="256"/>
    </row>
    <row r="61" spans="1:7" ht="15" customHeight="1" x14ac:dyDescent="0.3">
      <c r="A61" s="255" t="s">
        <v>28</v>
      </c>
      <c r="B61" s="254"/>
      <c r="C61" s="254"/>
      <c r="E61" s="254"/>
      <c r="G61" s="25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view="pageBreakPreview" zoomScale="60" zoomScaleNormal="100" workbookViewId="0">
      <selection activeCell="C36" activeCellId="1" sqref="E25 C36"/>
    </sheetView>
  </sheetViews>
  <sheetFormatPr defaultRowHeight="13.5" x14ac:dyDescent="0.25"/>
  <cols>
    <col min="1" max="1" width="27.5703125" style="297" customWidth="1"/>
    <col min="2" max="2" width="20.42578125" style="297" customWidth="1"/>
    <col min="3" max="3" width="31.85546875" style="297" customWidth="1"/>
    <col min="4" max="4" width="25.85546875" style="297" customWidth="1"/>
    <col min="5" max="5" width="25.7109375" style="297" customWidth="1"/>
    <col min="6" max="6" width="23.140625" style="297" customWidth="1"/>
    <col min="7" max="7" width="28.42578125" style="297" customWidth="1"/>
    <col min="8" max="8" width="21.5703125" style="297" customWidth="1"/>
    <col min="9" max="9" width="9.140625" style="297" customWidth="1"/>
    <col min="10" max="16384" width="9.140625" style="296"/>
  </cols>
  <sheetData>
    <row r="1" spans="1:6" s="296" customFormat="1" ht="18.75" x14ac:dyDescent="0.3">
      <c r="A1" s="336" t="s">
        <v>132</v>
      </c>
      <c r="B1" s="336"/>
      <c r="C1" s="336"/>
      <c r="D1" s="336"/>
      <c r="E1" s="336"/>
      <c r="F1" s="297"/>
    </row>
    <row r="2" spans="1:6" s="296" customFormat="1" ht="16.5" x14ac:dyDescent="0.3">
      <c r="A2" s="334" t="s">
        <v>1</v>
      </c>
      <c r="B2" s="333" t="s">
        <v>131</v>
      </c>
      <c r="C2" s="297"/>
      <c r="D2" s="297"/>
      <c r="E2" s="297"/>
      <c r="F2" s="297"/>
    </row>
    <row r="3" spans="1:6" s="296" customFormat="1" ht="16.5" x14ac:dyDescent="0.3">
      <c r="A3" s="331" t="s">
        <v>2</v>
      </c>
      <c r="B3" s="331"/>
      <c r="C3" s="297"/>
      <c r="D3" s="335"/>
      <c r="E3" s="329"/>
      <c r="F3" s="297"/>
    </row>
    <row r="4" spans="1:6" s="296" customFormat="1" ht="16.5" x14ac:dyDescent="0.3">
      <c r="A4" s="307" t="s">
        <v>3</v>
      </c>
      <c r="B4" s="331" t="s">
        <v>93</v>
      </c>
      <c r="C4" s="329"/>
      <c r="D4" s="329"/>
      <c r="E4" s="329"/>
      <c r="F4" s="297"/>
    </row>
    <row r="5" spans="1:6" s="296" customFormat="1" ht="16.5" x14ac:dyDescent="0.3">
      <c r="A5" s="307" t="s">
        <v>5</v>
      </c>
      <c r="B5" s="332">
        <v>99.3</v>
      </c>
      <c r="C5" s="329"/>
      <c r="D5" s="329"/>
      <c r="E5" s="329"/>
      <c r="F5" s="297"/>
    </row>
    <row r="6" spans="1:6" s="296" customFormat="1" ht="16.5" x14ac:dyDescent="0.3">
      <c r="A6" s="331" t="s">
        <v>7</v>
      </c>
      <c r="B6" s="332">
        <v>16.079999999999998</v>
      </c>
      <c r="C6" s="329"/>
      <c r="D6" s="329"/>
      <c r="E6" s="329"/>
      <c r="F6" s="297"/>
    </row>
    <row r="7" spans="1:6" s="296" customFormat="1" ht="16.5" x14ac:dyDescent="0.3">
      <c r="A7" s="331" t="s">
        <v>9</v>
      </c>
      <c r="B7" s="330">
        <f>B6/50</f>
        <v>0.32159999999999994</v>
      </c>
      <c r="C7" s="329"/>
      <c r="D7" s="329"/>
      <c r="E7" s="329"/>
      <c r="F7" s="297"/>
    </row>
    <row r="8" spans="1:6" s="296" customFormat="1" ht="16.5" x14ac:dyDescent="0.3">
      <c r="A8" s="327" t="s">
        <v>12</v>
      </c>
      <c r="B8" s="328" t="s">
        <v>13</v>
      </c>
      <c r="C8" s="327" t="s">
        <v>14</v>
      </c>
      <c r="D8" s="327" t="s">
        <v>15</v>
      </c>
      <c r="E8" s="327" t="s">
        <v>16</v>
      </c>
      <c r="F8" s="297"/>
    </row>
    <row r="9" spans="1:6" s="296" customFormat="1" ht="16.5" x14ac:dyDescent="0.3">
      <c r="A9" s="323">
        <v>1</v>
      </c>
      <c r="B9" s="325">
        <v>39824625</v>
      </c>
      <c r="C9" s="325">
        <v>3290</v>
      </c>
      <c r="D9" s="324">
        <v>0.94</v>
      </c>
      <c r="E9" s="326">
        <v>4.12</v>
      </c>
      <c r="F9" s="297"/>
    </row>
    <row r="10" spans="1:6" s="296" customFormat="1" ht="16.5" x14ac:dyDescent="0.3">
      <c r="A10" s="323">
        <v>2</v>
      </c>
      <c r="B10" s="325">
        <v>39798905</v>
      </c>
      <c r="C10" s="325">
        <v>3346</v>
      </c>
      <c r="D10" s="324">
        <v>0.95</v>
      </c>
      <c r="E10" s="324">
        <v>4.12</v>
      </c>
      <c r="F10" s="297"/>
    </row>
    <row r="11" spans="1:6" s="296" customFormat="1" ht="16.5" x14ac:dyDescent="0.3">
      <c r="A11" s="323">
        <v>3</v>
      </c>
      <c r="B11" s="325">
        <v>39787043</v>
      </c>
      <c r="C11" s="325">
        <v>3352</v>
      </c>
      <c r="D11" s="324">
        <v>0.94</v>
      </c>
      <c r="E11" s="324">
        <v>4.12</v>
      </c>
      <c r="F11" s="297"/>
    </row>
    <row r="12" spans="1:6" s="296" customFormat="1" ht="16.5" x14ac:dyDescent="0.3">
      <c r="A12" s="323">
        <v>4</v>
      </c>
      <c r="B12" s="325">
        <v>39787614</v>
      </c>
      <c r="C12" s="325">
        <v>3327</v>
      </c>
      <c r="D12" s="324">
        <v>0.94</v>
      </c>
      <c r="E12" s="324">
        <v>4.12</v>
      </c>
      <c r="F12" s="297"/>
    </row>
    <row r="13" spans="1:6" s="296" customFormat="1" ht="16.5" x14ac:dyDescent="0.3">
      <c r="A13" s="323">
        <v>5</v>
      </c>
      <c r="B13" s="325">
        <v>39780857</v>
      </c>
      <c r="C13" s="325">
        <v>3360</v>
      </c>
      <c r="D13" s="324">
        <v>0.94</v>
      </c>
      <c r="E13" s="324">
        <v>4.12</v>
      </c>
      <c r="F13" s="297"/>
    </row>
    <row r="14" spans="1:6" s="296" customFormat="1" ht="16.5" x14ac:dyDescent="0.3">
      <c r="A14" s="323">
        <v>6</v>
      </c>
      <c r="B14" s="322">
        <v>39650703</v>
      </c>
      <c r="C14" s="322">
        <v>3352</v>
      </c>
      <c r="D14" s="321">
        <v>0.96</v>
      </c>
      <c r="E14" s="321">
        <v>4.12</v>
      </c>
      <c r="F14" s="297"/>
    </row>
    <row r="15" spans="1:6" s="296" customFormat="1" ht="16.5" x14ac:dyDescent="0.3">
      <c r="A15" s="320" t="s">
        <v>17</v>
      </c>
      <c r="B15" s="319">
        <f>AVERAGE(B9:B14)</f>
        <v>39771624.5</v>
      </c>
      <c r="C15" s="318">
        <f>AVERAGE(C9:C14)</f>
        <v>3337.8333333333335</v>
      </c>
      <c r="D15" s="317">
        <f>AVERAGE(D9:D14)</f>
        <v>0.94499999999999995</v>
      </c>
      <c r="E15" s="317">
        <f>AVERAGE(E9:E14)</f>
        <v>4.12</v>
      </c>
      <c r="F15" s="297"/>
    </row>
    <row r="16" spans="1:6" s="296" customFormat="1" ht="16.5" x14ac:dyDescent="0.3">
      <c r="A16" s="316" t="s">
        <v>18</v>
      </c>
      <c r="B16" s="315">
        <f>(STDEV(B9:B14)/B15)</f>
        <v>1.5398829496750281E-3</v>
      </c>
      <c r="C16" s="314"/>
      <c r="D16" s="314"/>
      <c r="E16" s="313"/>
      <c r="F16" s="297"/>
    </row>
    <row r="17" spans="1:9" s="297" customFormat="1" ht="16.5" x14ac:dyDescent="0.3">
      <c r="A17" s="312" t="s">
        <v>19</v>
      </c>
      <c r="B17" s="311">
        <f>COUNT(B9:B14)</f>
        <v>6</v>
      </c>
      <c r="C17" s="310"/>
      <c r="D17" s="309"/>
      <c r="E17" s="308"/>
    </row>
    <row r="18" spans="1:9" s="297" customFormat="1" ht="16.5" x14ac:dyDescent="0.3">
      <c r="A18" s="307" t="s">
        <v>20</v>
      </c>
      <c r="B18" s="306" t="s">
        <v>21</v>
      </c>
      <c r="C18" s="305"/>
      <c r="D18" s="305"/>
      <c r="E18" s="305"/>
    </row>
    <row r="19" spans="1:9" ht="16.5" x14ac:dyDescent="0.3">
      <c r="A19" s="307"/>
      <c r="B19" s="306" t="s">
        <v>22</v>
      </c>
      <c r="C19" s="305"/>
      <c r="D19" s="305"/>
      <c r="E19" s="305"/>
      <c r="G19" s="296"/>
      <c r="H19" s="296"/>
      <c r="I19" s="296"/>
    </row>
    <row r="20" spans="1:9" ht="16.5" x14ac:dyDescent="0.3">
      <c r="A20" s="307"/>
      <c r="B20" s="306" t="s">
        <v>23</v>
      </c>
      <c r="C20" s="305"/>
      <c r="D20" s="305"/>
      <c r="E20" s="305"/>
      <c r="G20" s="296"/>
      <c r="H20" s="296"/>
      <c r="I20" s="296"/>
    </row>
    <row r="21" spans="1:9" ht="16.5" x14ac:dyDescent="0.3">
      <c r="A21" s="307"/>
      <c r="B21" s="306"/>
      <c r="C21" s="305"/>
      <c r="D21" s="305"/>
      <c r="E21" s="305"/>
      <c r="G21" s="296"/>
      <c r="H21" s="296"/>
      <c r="I21" s="296"/>
    </row>
    <row r="22" spans="1:9" ht="16.5" x14ac:dyDescent="0.3">
      <c r="A22" s="307"/>
      <c r="B22" s="306"/>
      <c r="C22" s="305"/>
      <c r="D22" s="305"/>
      <c r="E22" s="305"/>
      <c r="G22" s="296"/>
      <c r="H22" s="296"/>
      <c r="I22" s="296"/>
    </row>
    <row r="23" spans="1:9" ht="16.5" x14ac:dyDescent="0.3">
      <c r="A23" s="334" t="s">
        <v>1</v>
      </c>
      <c r="B23" s="333" t="s">
        <v>130</v>
      </c>
      <c r="G23" s="296"/>
      <c r="H23" s="296"/>
      <c r="I23" s="296"/>
    </row>
    <row r="24" spans="1:9" ht="16.5" x14ac:dyDescent="0.3">
      <c r="A24" s="307" t="s">
        <v>3</v>
      </c>
      <c r="B24" s="331" t="s">
        <v>122</v>
      </c>
      <c r="C24" s="329"/>
      <c r="D24" s="329"/>
      <c r="E24" s="329"/>
      <c r="G24" s="296"/>
      <c r="H24" s="296"/>
      <c r="I24" s="296"/>
    </row>
    <row r="25" spans="1:9" ht="16.5" x14ac:dyDescent="0.3">
      <c r="A25" s="307" t="s">
        <v>5</v>
      </c>
      <c r="B25" s="332">
        <v>99.3</v>
      </c>
      <c r="C25" s="329"/>
      <c r="D25" s="329"/>
      <c r="E25" s="329"/>
      <c r="G25" s="296"/>
      <c r="H25" s="296"/>
      <c r="I25" s="296"/>
    </row>
    <row r="26" spans="1:9" ht="16.5" x14ac:dyDescent="0.3">
      <c r="A26" s="331" t="s">
        <v>7</v>
      </c>
      <c r="B26" s="332">
        <v>11.77</v>
      </c>
      <c r="C26" s="329"/>
      <c r="D26" s="329"/>
      <c r="E26" s="329"/>
      <c r="G26" s="296"/>
      <c r="H26" s="296"/>
      <c r="I26" s="296"/>
    </row>
    <row r="27" spans="1:9" ht="16.5" x14ac:dyDescent="0.3">
      <c r="A27" s="331" t="s">
        <v>9</v>
      </c>
      <c r="B27" s="330">
        <f>B26/100</f>
        <v>0.1177</v>
      </c>
      <c r="C27" s="329"/>
      <c r="D27" s="329"/>
      <c r="E27" s="329"/>
      <c r="G27" s="296"/>
      <c r="H27" s="296"/>
      <c r="I27" s="296"/>
    </row>
    <row r="28" spans="1:9" ht="16.5" x14ac:dyDescent="0.3">
      <c r="A28" s="327" t="s">
        <v>12</v>
      </c>
      <c r="B28" s="328" t="s">
        <v>13</v>
      </c>
      <c r="C28" s="327" t="s">
        <v>14</v>
      </c>
      <c r="D28" s="327" t="s">
        <v>15</v>
      </c>
      <c r="E28" s="327" t="s">
        <v>16</v>
      </c>
      <c r="G28" s="296"/>
      <c r="H28" s="296"/>
      <c r="I28" s="296"/>
    </row>
    <row r="29" spans="1:9" ht="16.5" x14ac:dyDescent="0.3">
      <c r="A29" s="323">
        <v>1</v>
      </c>
      <c r="B29" s="325">
        <v>53214981</v>
      </c>
      <c r="C29" s="325">
        <v>7469</v>
      </c>
      <c r="D29" s="324">
        <v>1.04</v>
      </c>
      <c r="E29" s="326">
        <v>7.07</v>
      </c>
      <c r="G29" s="296"/>
      <c r="H29" s="296"/>
      <c r="I29" s="296"/>
    </row>
    <row r="30" spans="1:9" ht="16.5" x14ac:dyDescent="0.3">
      <c r="A30" s="323">
        <v>2</v>
      </c>
      <c r="B30" s="325">
        <v>53209643</v>
      </c>
      <c r="C30" s="325">
        <v>7483</v>
      </c>
      <c r="D30" s="324">
        <v>1.06</v>
      </c>
      <c r="E30" s="324">
        <v>7.05</v>
      </c>
      <c r="G30" s="296"/>
      <c r="H30" s="296"/>
      <c r="I30" s="296"/>
    </row>
    <row r="31" spans="1:9" ht="16.5" x14ac:dyDescent="0.3">
      <c r="A31" s="323">
        <v>3</v>
      </c>
      <c r="B31" s="325">
        <v>53432706</v>
      </c>
      <c r="C31" s="325">
        <v>7493</v>
      </c>
      <c r="D31" s="324">
        <v>1.06</v>
      </c>
      <c r="E31" s="324">
        <v>7.07</v>
      </c>
      <c r="G31" s="296"/>
      <c r="H31" s="296"/>
      <c r="I31" s="296"/>
    </row>
    <row r="32" spans="1:9" ht="16.5" x14ac:dyDescent="0.3">
      <c r="A32" s="323">
        <v>4</v>
      </c>
      <c r="B32" s="325">
        <v>53133704</v>
      </c>
      <c r="C32" s="325">
        <v>7454</v>
      </c>
      <c r="D32" s="324">
        <v>1.05</v>
      </c>
      <c r="E32" s="324">
        <v>7.08</v>
      </c>
      <c r="G32" s="296"/>
      <c r="H32" s="296"/>
      <c r="I32" s="296"/>
    </row>
    <row r="33" spans="1:9" ht="16.5" x14ac:dyDescent="0.3">
      <c r="A33" s="323">
        <v>5</v>
      </c>
      <c r="B33" s="325">
        <v>53035333</v>
      </c>
      <c r="C33" s="325">
        <v>7425</v>
      </c>
      <c r="D33" s="324">
        <v>1.05</v>
      </c>
      <c r="E33" s="324">
        <v>7.07</v>
      </c>
      <c r="G33" s="296"/>
      <c r="H33" s="296"/>
      <c r="I33" s="296"/>
    </row>
    <row r="34" spans="1:9" ht="16.5" customHeight="1" x14ac:dyDescent="0.3">
      <c r="A34" s="323">
        <v>6</v>
      </c>
      <c r="B34" s="322">
        <v>53377391</v>
      </c>
      <c r="C34" s="322">
        <v>7393</v>
      </c>
      <c r="D34" s="321">
        <v>1.05</v>
      </c>
      <c r="E34" s="321">
        <v>7.08</v>
      </c>
    </row>
    <row r="35" spans="1:9" ht="16.5" customHeight="1" x14ac:dyDescent="0.3">
      <c r="A35" s="320" t="s">
        <v>17</v>
      </c>
      <c r="B35" s="319">
        <f>AVERAGE(B29:B34)</f>
        <v>53233959.666666664</v>
      </c>
      <c r="C35" s="318">
        <f>AVERAGE(C29:C34)</f>
        <v>7452.833333333333</v>
      </c>
      <c r="D35" s="317">
        <f>AVERAGE(D29:D34)</f>
        <v>1.0516666666666665</v>
      </c>
      <c r="E35" s="317">
        <f>AVERAGE(E29:E34)</f>
        <v>7.07</v>
      </c>
    </row>
    <row r="36" spans="1:9" ht="16.5" customHeight="1" x14ac:dyDescent="0.3">
      <c r="A36" s="316" t="s">
        <v>18</v>
      </c>
      <c r="B36" s="315">
        <f>(STDEV(B29:B34)/B35)</f>
        <v>2.7929436522954793E-3</v>
      </c>
      <c r="C36" s="314"/>
      <c r="D36" s="314"/>
      <c r="E36" s="313"/>
    </row>
    <row r="37" spans="1:9" s="297" customFormat="1" ht="16.5" customHeight="1" x14ac:dyDescent="0.3">
      <c r="A37" s="312" t="s">
        <v>19</v>
      </c>
      <c r="B37" s="311">
        <f>COUNT(B29:B34)</f>
        <v>6</v>
      </c>
      <c r="C37" s="310"/>
      <c r="D37" s="309"/>
      <c r="E37" s="308"/>
    </row>
    <row r="38" spans="1:9" s="297" customFormat="1" ht="16.5" customHeight="1" x14ac:dyDescent="0.3">
      <c r="A38" s="307" t="s">
        <v>20</v>
      </c>
      <c r="B38" s="306" t="s">
        <v>21</v>
      </c>
      <c r="C38" s="305"/>
      <c r="D38" s="305"/>
      <c r="E38" s="305"/>
    </row>
    <row r="39" spans="1:9" ht="16.5" customHeight="1" x14ac:dyDescent="0.3">
      <c r="A39" s="307"/>
      <c r="B39" s="306" t="s">
        <v>22</v>
      </c>
      <c r="C39" s="305"/>
      <c r="D39" s="305"/>
      <c r="E39" s="305"/>
    </row>
    <row r="40" spans="1:9" ht="16.5" customHeight="1" x14ac:dyDescent="0.3">
      <c r="A40" s="307"/>
      <c r="B40" s="306" t="s">
        <v>23</v>
      </c>
      <c r="C40" s="305"/>
      <c r="D40" s="305"/>
      <c r="E40" s="305"/>
    </row>
    <row r="41" spans="1:9" ht="16.5" customHeight="1" x14ac:dyDescent="0.3">
      <c r="A41" s="307" t="s">
        <v>129</v>
      </c>
      <c r="C41" s="305"/>
      <c r="D41" s="305"/>
      <c r="E41" s="305"/>
    </row>
    <row r="42" spans="1:9" ht="14.25" customHeight="1" thickBot="1" x14ac:dyDescent="0.35">
      <c r="A42" s="307"/>
      <c r="B42" s="306"/>
      <c r="C42" s="305"/>
      <c r="D42" s="305"/>
      <c r="E42" s="305"/>
    </row>
    <row r="43" spans="1:9" ht="15" customHeight="1" x14ac:dyDescent="0.3">
      <c r="B43" s="304" t="s">
        <v>24</v>
      </c>
      <c r="C43" s="304"/>
      <c r="E43" s="302" t="s">
        <v>25</v>
      </c>
      <c r="F43" s="303"/>
      <c r="G43" s="302" t="s">
        <v>26</v>
      </c>
    </row>
    <row r="44" spans="1:9" ht="15" customHeight="1" x14ac:dyDescent="0.3">
      <c r="A44" s="300" t="s">
        <v>27</v>
      </c>
      <c r="B44" s="301"/>
      <c r="C44" s="301"/>
      <c r="E44" s="301"/>
      <c r="G44" s="301"/>
    </row>
    <row r="45" spans="1:9" ht="15" customHeight="1" x14ac:dyDescent="0.3">
      <c r="A45" s="300" t="s">
        <v>28</v>
      </c>
      <c r="B45" s="299"/>
      <c r="C45" s="299"/>
      <c r="E45" s="299"/>
      <c r="G45" s="298"/>
    </row>
  </sheetData>
  <mergeCells count="2">
    <mergeCell ref="A1:E1"/>
    <mergeCell ref="B43:C43"/>
  </mergeCells>
  <pageMargins left="0.7" right="0.7" top="0.75" bottom="0.75" header="0.3" footer="0.3"/>
  <pageSetup scale="5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view="pageBreakPreview" topLeftCell="A63" zoomScale="60" zoomScaleNormal="60" workbookViewId="0">
      <selection activeCell="D126" sqref="D126:D131"/>
    </sheetView>
  </sheetViews>
  <sheetFormatPr defaultRowHeight="13.5" x14ac:dyDescent="0.25"/>
  <cols>
    <col min="1" max="1" width="55.42578125" style="48" customWidth="1"/>
    <col min="2" max="2" width="33.7109375" style="48" customWidth="1"/>
    <col min="3" max="3" width="42.28515625" style="48" customWidth="1"/>
    <col min="4" max="4" width="30.5703125" style="48" customWidth="1"/>
    <col min="5" max="5" width="39.85546875" style="48" customWidth="1"/>
    <col min="6" max="6" width="30.7109375" style="48" customWidth="1"/>
    <col min="7" max="7" width="39.85546875" style="48" customWidth="1"/>
    <col min="8" max="8" width="41.140625" style="48" customWidth="1"/>
    <col min="9" max="9" width="30.42578125" style="48" customWidth="1"/>
    <col min="10" max="10" width="21.28515625" style="48" customWidth="1"/>
    <col min="11" max="11" width="9.140625" style="48" customWidth="1"/>
    <col min="12" max="16384" width="9.140625" style="50"/>
  </cols>
  <sheetData>
    <row r="1" spans="1:8" x14ac:dyDescent="0.25">
      <c r="A1" s="238" t="s">
        <v>43</v>
      </c>
      <c r="B1" s="238"/>
      <c r="C1" s="238"/>
      <c r="D1" s="238"/>
      <c r="E1" s="238"/>
      <c r="F1" s="238"/>
      <c r="G1" s="238"/>
      <c r="H1" s="238"/>
    </row>
    <row r="2" spans="1:8" x14ac:dyDescent="0.25">
      <c r="A2" s="238"/>
      <c r="B2" s="238"/>
      <c r="C2" s="238"/>
      <c r="D2" s="238"/>
      <c r="E2" s="238"/>
      <c r="F2" s="238"/>
      <c r="G2" s="238"/>
      <c r="H2" s="238"/>
    </row>
    <row r="3" spans="1:8" x14ac:dyDescent="0.25">
      <c r="A3" s="238"/>
      <c r="B3" s="238"/>
      <c r="C3" s="238"/>
      <c r="D3" s="238"/>
      <c r="E3" s="238"/>
      <c r="F3" s="238"/>
      <c r="G3" s="238"/>
      <c r="H3" s="238"/>
    </row>
    <row r="4" spans="1:8" x14ac:dyDescent="0.25">
      <c r="A4" s="238"/>
      <c r="B4" s="238"/>
      <c r="C4" s="238"/>
      <c r="D4" s="238"/>
      <c r="E4" s="238"/>
      <c r="F4" s="238"/>
      <c r="G4" s="238"/>
      <c r="H4" s="238"/>
    </row>
    <row r="5" spans="1:8" x14ac:dyDescent="0.25">
      <c r="A5" s="238"/>
      <c r="B5" s="238"/>
      <c r="C5" s="238"/>
      <c r="D5" s="238"/>
      <c r="E5" s="238"/>
      <c r="F5" s="238"/>
      <c r="G5" s="238"/>
      <c r="H5" s="238"/>
    </row>
    <row r="6" spans="1:8" x14ac:dyDescent="0.25">
      <c r="A6" s="238"/>
      <c r="B6" s="238"/>
      <c r="C6" s="238"/>
      <c r="D6" s="238"/>
      <c r="E6" s="238"/>
      <c r="F6" s="238"/>
      <c r="G6" s="238"/>
      <c r="H6" s="238"/>
    </row>
    <row r="7" spans="1:8" x14ac:dyDescent="0.25">
      <c r="A7" s="238"/>
      <c r="B7" s="238"/>
      <c r="C7" s="238"/>
      <c r="D7" s="238"/>
      <c r="E7" s="238"/>
      <c r="F7" s="238"/>
      <c r="G7" s="238"/>
      <c r="H7" s="238"/>
    </row>
    <row r="8" spans="1:8" x14ac:dyDescent="0.25">
      <c r="A8" s="239" t="s">
        <v>44</v>
      </c>
      <c r="B8" s="239"/>
      <c r="C8" s="239"/>
      <c r="D8" s="239"/>
      <c r="E8" s="239"/>
      <c r="F8" s="239"/>
      <c r="G8" s="239"/>
      <c r="H8" s="239"/>
    </row>
    <row r="9" spans="1:8" x14ac:dyDescent="0.25">
      <c r="A9" s="239"/>
      <c r="B9" s="239"/>
      <c r="C9" s="239"/>
      <c r="D9" s="239"/>
      <c r="E9" s="239"/>
      <c r="F9" s="239"/>
      <c r="G9" s="239"/>
      <c r="H9" s="239"/>
    </row>
    <row r="10" spans="1:8" x14ac:dyDescent="0.25">
      <c r="A10" s="239"/>
      <c r="B10" s="239"/>
      <c r="C10" s="239"/>
      <c r="D10" s="239"/>
      <c r="E10" s="239"/>
      <c r="F10" s="239"/>
      <c r="G10" s="239"/>
      <c r="H10" s="239"/>
    </row>
    <row r="11" spans="1:8" x14ac:dyDescent="0.25">
      <c r="A11" s="239"/>
      <c r="B11" s="239"/>
      <c r="C11" s="239"/>
      <c r="D11" s="239"/>
      <c r="E11" s="239"/>
      <c r="F11" s="239"/>
      <c r="G11" s="239"/>
      <c r="H11" s="239"/>
    </row>
    <row r="12" spans="1:8" x14ac:dyDescent="0.25">
      <c r="A12" s="239"/>
      <c r="B12" s="239"/>
      <c r="C12" s="239"/>
      <c r="D12" s="239"/>
      <c r="E12" s="239"/>
      <c r="F12" s="239"/>
      <c r="G12" s="239"/>
      <c r="H12" s="239"/>
    </row>
    <row r="13" spans="1:8" x14ac:dyDescent="0.25">
      <c r="A13" s="239"/>
      <c r="B13" s="239"/>
      <c r="C13" s="239"/>
      <c r="D13" s="239"/>
      <c r="E13" s="239"/>
      <c r="F13" s="239"/>
      <c r="G13" s="239"/>
      <c r="H13" s="239"/>
    </row>
    <row r="14" spans="1:8" x14ac:dyDescent="0.25">
      <c r="A14" s="239"/>
      <c r="B14" s="239"/>
      <c r="C14" s="239"/>
      <c r="D14" s="239"/>
      <c r="E14" s="239"/>
      <c r="F14" s="239"/>
      <c r="G14" s="239"/>
      <c r="H14" s="239"/>
    </row>
    <row r="15" spans="1:8" ht="19.5" customHeight="1" thickBot="1" x14ac:dyDescent="0.3"/>
    <row r="16" spans="1:8" ht="19.5" customHeight="1" thickBot="1" x14ac:dyDescent="0.3">
      <c r="A16" s="240" t="s">
        <v>29</v>
      </c>
      <c r="B16" s="241"/>
      <c r="C16" s="241"/>
      <c r="D16" s="241"/>
      <c r="E16" s="241"/>
      <c r="F16" s="241"/>
      <c r="G16" s="241"/>
      <c r="H16" s="242"/>
    </row>
    <row r="17" spans="1:13" ht="18.75" x14ac:dyDescent="0.3">
      <c r="A17" s="49" t="s">
        <v>45</v>
      </c>
      <c r="B17" s="49"/>
    </row>
    <row r="18" spans="1:13" ht="18.75" x14ac:dyDescent="0.3">
      <c r="A18" s="51" t="s">
        <v>31</v>
      </c>
      <c r="B18" s="243" t="s">
        <v>4</v>
      </c>
      <c r="C18" s="243"/>
      <c r="D18" s="52"/>
      <c r="E18" s="52"/>
    </row>
    <row r="19" spans="1:13" ht="18.75" x14ac:dyDescent="0.3">
      <c r="A19" s="51" t="s">
        <v>32</v>
      </c>
      <c r="B19" s="53" t="s">
        <v>6</v>
      </c>
      <c r="C19" s="54">
        <v>35</v>
      </c>
    </row>
    <row r="20" spans="1:13" ht="18.75" x14ac:dyDescent="0.3">
      <c r="A20" s="51" t="s">
        <v>33</v>
      </c>
      <c r="B20" s="53" t="s">
        <v>91</v>
      </c>
    </row>
    <row r="21" spans="1:13" ht="18.75" x14ac:dyDescent="0.3">
      <c r="A21" s="51" t="s">
        <v>34</v>
      </c>
      <c r="B21" s="55" t="s">
        <v>92</v>
      </c>
      <c r="C21" s="55"/>
      <c r="D21" s="55"/>
      <c r="E21" s="55"/>
      <c r="F21" s="55"/>
      <c r="G21" s="55"/>
      <c r="H21" s="55"/>
    </row>
    <row r="22" spans="1:13" ht="18.75" x14ac:dyDescent="0.3">
      <c r="A22" s="51" t="s">
        <v>35</v>
      </c>
      <c r="B22" s="56"/>
    </row>
    <row r="23" spans="1:13" ht="26.25" x14ac:dyDescent="0.4">
      <c r="A23" s="51" t="s">
        <v>36</v>
      </c>
      <c r="B23" s="57"/>
    </row>
    <row r="24" spans="1:13" ht="18.75" x14ac:dyDescent="0.3">
      <c r="A24" s="51"/>
      <c r="B24" s="58"/>
    </row>
    <row r="25" spans="1:13" ht="18.75" x14ac:dyDescent="0.3">
      <c r="A25" s="59" t="s">
        <v>1</v>
      </c>
      <c r="B25" s="58"/>
    </row>
    <row r="26" spans="1:13" ht="26.25" customHeight="1" x14ac:dyDescent="0.4">
      <c r="A26" s="60" t="s">
        <v>3</v>
      </c>
      <c r="B26" s="214" t="s">
        <v>93</v>
      </c>
      <c r="C26" s="214"/>
    </row>
    <row r="27" spans="1:13" ht="26.25" customHeight="1" x14ac:dyDescent="0.4">
      <c r="A27" s="61" t="s">
        <v>46</v>
      </c>
      <c r="B27" s="62" t="s">
        <v>94</v>
      </c>
    </row>
    <row r="28" spans="1:13" ht="27" customHeight="1" thickBot="1" x14ac:dyDescent="0.45">
      <c r="A28" s="61" t="s">
        <v>5</v>
      </c>
      <c r="B28" s="62">
        <v>99.3</v>
      </c>
    </row>
    <row r="29" spans="1:13" s="63" customFormat="1" ht="27" customHeight="1" thickBot="1" x14ac:dyDescent="0.45">
      <c r="A29" s="61" t="s">
        <v>47</v>
      </c>
      <c r="B29" s="62">
        <v>0</v>
      </c>
      <c r="C29" s="215" t="s">
        <v>48</v>
      </c>
      <c r="D29" s="216"/>
      <c r="E29" s="216"/>
      <c r="F29" s="216"/>
      <c r="G29" s="217"/>
      <c r="I29" s="64"/>
      <c r="J29" s="64"/>
      <c r="K29" s="64"/>
    </row>
    <row r="30" spans="1:13" s="63" customFormat="1" ht="19.5" customHeight="1" thickBot="1" x14ac:dyDescent="0.35">
      <c r="A30" s="61" t="s">
        <v>49</v>
      </c>
      <c r="B30" s="65">
        <f>B28-B29</f>
        <v>99.3</v>
      </c>
      <c r="C30" s="66"/>
      <c r="D30" s="66"/>
      <c r="E30" s="66"/>
      <c r="F30" s="66"/>
      <c r="G30" s="67"/>
      <c r="I30" s="64"/>
      <c r="J30" s="64"/>
      <c r="K30" s="64"/>
    </row>
    <row r="31" spans="1:13" s="63" customFormat="1" ht="27" customHeight="1" thickBot="1" x14ac:dyDescent="0.45">
      <c r="A31" s="61" t="s">
        <v>50</v>
      </c>
      <c r="B31" s="68">
        <v>704.9</v>
      </c>
      <c r="C31" s="218" t="s">
        <v>51</v>
      </c>
      <c r="D31" s="219"/>
      <c r="E31" s="219"/>
      <c r="F31" s="219"/>
      <c r="G31" s="219"/>
      <c r="H31" s="220"/>
      <c r="I31" s="64"/>
      <c r="J31" s="64"/>
      <c r="K31" s="64"/>
    </row>
    <row r="32" spans="1:13" s="63" customFormat="1" ht="27" customHeight="1" thickBot="1" x14ac:dyDescent="0.45">
      <c r="A32" s="61" t="s">
        <v>52</v>
      </c>
      <c r="B32" s="68">
        <v>802.9</v>
      </c>
      <c r="C32" s="218" t="s">
        <v>53</v>
      </c>
      <c r="D32" s="219"/>
      <c r="E32" s="219"/>
      <c r="F32" s="219"/>
      <c r="G32" s="219"/>
      <c r="H32" s="220"/>
      <c r="I32" s="64"/>
      <c r="J32" s="64"/>
      <c r="K32" s="69"/>
      <c r="L32" s="69"/>
      <c r="M32" s="70"/>
    </row>
    <row r="33" spans="1:13" s="6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9"/>
      <c r="L33" s="69"/>
      <c r="M33" s="70"/>
    </row>
    <row r="34" spans="1:13" s="63" customFormat="1" ht="18.75" x14ac:dyDescent="0.3">
      <c r="A34" s="61" t="s">
        <v>54</v>
      </c>
      <c r="B34" s="73">
        <f>B31/B32</f>
        <v>0.87794245858761988</v>
      </c>
      <c r="C34" s="74" t="s">
        <v>55</v>
      </c>
      <c r="D34" s="74"/>
      <c r="E34" s="74"/>
      <c r="F34" s="74"/>
      <c r="G34" s="74"/>
      <c r="I34" s="64"/>
      <c r="J34" s="64"/>
      <c r="K34" s="69"/>
      <c r="L34" s="69"/>
      <c r="M34" s="70"/>
    </row>
    <row r="35" spans="1:13" s="63" customFormat="1" ht="19.5" customHeight="1" thickBot="1" x14ac:dyDescent="0.35">
      <c r="A35" s="61"/>
      <c r="B35" s="65"/>
      <c r="G35" s="74"/>
      <c r="I35" s="64"/>
      <c r="J35" s="64"/>
      <c r="K35" s="69"/>
      <c r="L35" s="69"/>
      <c r="M35" s="70"/>
    </row>
    <row r="36" spans="1:13" s="63" customFormat="1" ht="27" customHeight="1" thickBot="1" x14ac:dyDescent="0.45">
      <c r="A36" s="75" t="s">
        <v>95</v>
      </c>
      <c r="B36" s="76">
        <v>100</v>
      </c>
      <c r="C36" s="74"/>
      <c r="D36" s="221" t="s">
        <v>56</v>
      </c>
      <c r="E36" s="230"/>
      <c r="F36" s="221" t="s">
        <v>57</v>
      </c>
      <c r="G36" s="222"/>
      <c r="I36" s="64"/>
      <c r="J36" s="64"/>
      <c r="K36" s="69"/>
      <c r="L36" s="69"/>
      <c r="M36" s="70"/>
    </row>
    <row r="37" spans="1:13" s="63" customFormat="1" ht="26.25" customHeight="1" x14ac:dyDescent="0.4">
      <c r="A37" s="77" t="s">
        <v>96</v>
      </c>
      <c r="B37" s="78">
        <v>1</v>
      </c>
      <c r="C37" s="79" t="s">
        <v>97</v>
      </c>
      <c r="D37" s="80" t="s">
        <v>59</v>
      </c>
      <c r="E37" s="81" t="s">
        <v>60</v>
      </c>
      <c r="F37" s="80" t="s">
        <v>59</v>
      </c>
      <c r="G37" s="82" t="s">
        <v>60</v>
      </c>
      <c r="I37" s="64"/>
      <c r="J37" s="64"/>
      <c r="K37" s="69"/>
      <c r="L37" s="69"/>
      <c r="M37" s="70"/>
    </row>
    <row r="38" spans="1:13" s="63" customFormat="1" ht="26.25" customHeight="1" x14ac:dyDescent="0.4">
      <c r="A38" s="77" t="s">
        <v>98</v>
      </c>
      <c r="B38" s="78">
        <v>1</v>
      </c>
      <c r="C38" s="83">
        <v>1</v>
      </c>
      <c r="D38" s="84">
        <v>41754671</v>
      </c>
      <c r="E38" s="85">
        <f>IF(ISBLANK(D38),"-",$D$48/$D$45*D38)</f>
        <v>45876393.189434864</v>
      </c>
      <c r="F38" s="84">
        <v>45015712</v>
      </c>
      <c r="G38" s="86">
        <f>IF(ISBLANK(F38),"-",$D$48/$F$45*F38)</f>
        <v>47098405.417487226</v>
      </c>
      <c r="I38" s="64"/>
      <c r="J38" s="64"/>
      <c r="K38" s="69"/>
      <c r="L38" s="69"/>
      <c r="M38" s="70"/>
    </row>
    <row r="39" spans="1:13" s="63" customFormat="1" ht="26.25" customHeight="1" x14ac:dyDescent="0.4">
      <c r="A39" s="77" t="s">
        <v>99</v>
      </c>
      <c r="B39" s="78">
        <v>1</v>
      </c>
      <c r="C39" s="87">
        <v>2</v>
      </c>
      <c r="D39" s="88">
        <v>41303007</v>
      </c>
      <c r="E39" s="89">
        <f>IF(ISBLANK(D39),"-",$D$48/$D$45*D39)</f>
        <v>45380144.152925558</v>
      </c>
      <c r="F39" s="88">
        <v>44935296</v>
      </c>
      <c r="G39" s="90">
        <f>IF(ISBLANK(F39),"-",$D$48/$F$45*F39)</f>
        <v>47014268.897108458</v>
      </c>
      <c r="I39" s="64"/>
      <c r="J39" s="64"/>
      <c r="K39" s="69"/>
      <c r="L39" s="69"/>
      <c r="M39" s="70"/>
    </row>
    <row r="40" spans="1:13" ht="26.25" customHeight="1" x14ac:dyDescent="0.4">
      <c r="A40" s="77" t="s">
        <v>100</v>
      </c>
      <c r="B40" s="78">
        <v>1</v>
      </c>
      <c r="C40" s="87">
        <v>3</v>
      </c>
      <c r="D40" s="88">
        <v>41604935</v>
      </c>
      <c r="E40" s="89">
        <f>IF(ISBLANK(D40),"-",$D$48/$D$45*D40)</f>
        <v>45711876.323510729</v>
      </c>
      <c r="F40" s="88">
        <v>45012477</v>
      </c>
      <c r="G40" s="90">
        <f>IF(ISBLANK(F40),"-",$D$48/$F$45*F40)</f>
        <v>47095020.747229747</v>
      </c>
      <c r="K40" s="69"/>
      <c r="L40" s="69"/>
      <c r="M40" s="74"/>
    </row>
    <row r="41" spans="1:13" ht="26.25" customHeight="1" x14ac:dyDescent="0.4">
      <c r="A41" s="77" t="s">
        <v>101</v>
      </c>
      <c r="B41" s="78">
        <v>1</v>
      </c>
      <c r="C41" s="91">
        <v>4</v>
      </c>
      <c r="D41" s="92"/>
      <c r="E41" s="93" t="str">
        <f>IF(ISBLANK(D41),"-",$D$48/$D$45*D41)</f>
        <v>-</v>
      </c>
      <c r="F41" s="92"/>
      <c r="G41" s="94" t="str">
        <f>IF(ISBLANK(F41),"-",$D$48/$F$45*F41)</f>
        <v>-</v>
      </c>
      <c r="K41" s="69"/>
      <c r="L41" s="69"/>
      <c r="M41" s="74"/>
    </row>
    <row r="42" spans="1:13" ht="27" customHeight="1" thickBot="1" x14ac:dyDescent="0.45">
      <c r="A42" s="77" t="s">
        <v>102</v>
      </c>
      <c r="B42" s="78">
        <v>1</v>
      </c>
      <c r="C42" s="95" t="s">
        <v>61</v>
      </c>
      <c r="D42" s="96">
        <f>AVERAGE(D38:D41)</f>
        <v>41554204.333333336</v>
      </c>
      <c r="E42" s="97">
        <f>AVERAGE(E38:E41)</f>
        <v>45656137.888623714</v>
      </c>
      <c r="F42" s="98">
        <f>AVERAGE(F38:F41)</f>
        <v>44987828.333333336</v>
      </c>
      <c r="G42" s="99">
        <f>AVERAGE(G38:G41)</f>
        <v>47069231.687275141</v>
      </c>
      <c r="H42" s="100"/>
    </row>
    <row r="43" spans="1:13" ht="26.25" customHeight="1" x14ac:dyDescent="0.4">
      <c r="A43" s="77" t="s">
        <v>103</v>
      </c>
      <c r="B43" s="62">
        <v>1</v>
      </c>
      <c r="C43" s="101" t="s">
        <v>83</v>
      </c>
      <c r="D43" s="102">
        <v>31.32</v>
      </c>
      <c r="E43" s="74"/>
      <c r="F43" s="103">
        <v>32.89</v>
      </c>
      <c r="H43" s="100"/>
    </row>
    <row r="44" spans="1:13" ht="26.25" customHeight="1" x14ac:dyDescent="0.4">
      <c r="A44" s="77" t="s">
        <v>104</v>
      </c>
      <c r="B44" s="62">
        <v>1</v>
      </c>
      <c r="C44" s="104" t="s">
        <v>84</v>
      </c>
      <c r="D44" s="105">
        <f>D43*$B$34</f>
        <v>27.497157802964256</v>
      </c>
      <c r="E44" s="106"/>
      <c r="F44" s="107">
        <f>F43*$B$34</f>
        <v>28.875527462946817</v>
      </c>
      <c r="H44" s="100"/>
    </row>
    <row r="45" spans="1:13" ht="19.5" customHeight="1" thickBot="1" x14ac:dyDescent="0.35">
      <c r="A45" s="77" t="s">
        <v>62</v>
      </c>
      <c r="B45" s="65">
        <f>(B44/B43)*(B42/B41)*(B40/B39)*(B38/B37)*B36</f>
        <v>100</v>
      </c>
      <c r="C45" s="104" t="s">
        <v>63</v>
      </c>
      <c r="D45" s="108">
        <f>D44*$B$30/100</f>
        <v>27.304677698343507</v>
      </c>
      <c r="E45" s="109"/>
      <c r="F45" s="110">
        <f>F44*$B$30/100</f>
        <v>28.673398770706189</v>
      </c>
      <c r="H45" s="100"/>
    </row>
    <row r="46" spans="1:13" ht="19.5" customHeight="1" thickBot="1" x14ac:dyDescent="0.35">
      <c r="A46" s="223" t="s">
        <v>64</v>
      </c>
      <c r="B46" s="224"/>
      <c r="C46" s="104" t="s">
        <v>65</v>
      </c>
      <c r="D46" s="105">
        <f>D45/$B$45</f>
        <v>0.27304677698343505</v>
      </c>
      <c r="E46" s="109"/>
      <c r="F46" s="111">
        <f>F45/$B$45</f>
        <v>0.28673398770706188</v>
      </c>
      <c r="H46" s="100"/>
    </row>
    <row r="47" spans="1:13" ht="27" customHeight="1" thickBot="1" x14ac:dyDescent="0.45">
      <c r="A47" s="225"/>
      <c r="B47" s="226"/>
      <c r="C47" s="104" t="s">
        <v>105</v>
      </c>
      <c r="D47" s="112">
        <v>0.3</v>
      </c>
      <c r="F47" s="113"/>
      <c r="H47" s="100"/>
    </row>
    <row r="48" spans="1:13" ht="18.75" x14ac:dyDescent="0.3">
      <c r="C48" s="104" t="s">
        <v>66</v>
      </c>
      <c r="D48" s="105">
        <f>D47*$B$45</f>
        <v>30</v>
      </c>
      <c r="F48" s="113"/>
      <c r="H48" s="100"/>
    </row>
    <row r="49" spans="1:11" ht="19.5" customHeight="1" thickBot="1" x14ac:dyDescent="0.35">
      <c r="C49" s="114" t="s">
        <v>67</v>
      </c>
      <c r="D49" s="115">
        <f>D48/B34</f>
        <v>34.1708043694141</v>
      </c>
      <c r="F49" s="116"/>
      <c r="H49" s="100"/>
    </row>
    <row r="50" spans="1:11" ht="18.75" x14ac:dyDescent="0.3">
      <c r="C50" s="117" t="s">
        <v>68</v>
      </c>
      <c r="D50" s="118">
        <f>AVERAGE(E38:E41,G38:G41)</f>
        <v>46362684.787949435</v>
      </c>
      <c r="F50" s="116"/>
      <c r="H50" s="100"/>
    </row>
    <row r="51" spans="1:11" ht="18.75" x14ac:dyDescent="0.3">
      <c r="C51" s="119" t="s">
        <v>69</v>
      </c>
      <c r="D51" s="120">
        <f>STDEV(E38:E41,G38:G41)/D50</f>
        <v>1.7058884518840103E-2</v>
      </c>
      <c r="F51" s="116"/>
    </row>
    <row r="52" spans="1:11" ht="19.5" customHeight="1" thickBot="1" x14ac:dyDescent="0.35">
      <c r="C52" s="121" t="s">
        <v>19</v>
      </c>
      <c r="D52" s="122">
        <f>COUNT(E38:E41,G38:G41)</f>
        <v>6</v>
      </c>
      <c r="F52" s="116"/>
    </row>
    <row r="54" spans="1:11" ht="18.75" x14ac:dyDescent="0.3">
      <c r="A54" s="49" t="s">
        <v>1</v>
      </c>
      <c r="B54" s="123" t="s">
        <v>70</v>
      </c>
    </row>
    <row r="55" spans="1:11" ht="18.75" x14ac:dyDescent="0.3">
      <c r="A55" s="74" t="s">
        <v>71</v>
      </c>
      <c r="B55" s="124" t="str">
        <f>B21</f>
        <v>Each film coated tablet contains: Atazanavir 300mg</v>
      </c>
    </row>
    <row r="56" spans="1:11" ht="26.25" customHeight="1" x14ac:dyDescent="0.4">
      <c r="A56" s="124" t="s">
        <v>72</v>
      </c>
      <c r="B56" s="62">
        <v>300</v>
      </c>
      <c r="C56" s="74" t="str">
        <f>B20</f>
        <v xml:space="preserve">ATAZANAVIR </v>
      </c>
      <c r="H56" s="106"/>
    </row>
    <row r="57" spans="1:11" ht="18.75" x14ac:dyDescent="0.3">
      <c r="A57" s="124" t="s">
        <v>73</v>
      </c>
      <c r="B57" s="125">
        <f>Uniformity!C46</f>
        <v>1951.3260000000005</v>
      </c>
      <c r="H57" s="106"/>
    </row>
    <row r="58" spans="1:11" ht="19.5" customHeight="1" thickBot="1" x14ac:dyDescent="0.35">
      <c r="H58" s="106"/>
    </row>
    <row r="59" spans="1:11" s="63" customFormat="1" ht="27" customHeight="1" thickBot="1" x14ac:dyDescent="0.45">
      <c r="A59" s="75" t="s">
        <v>106</v>
      </c>
      <c r="B59" s="76">
        <v>100</v>
      </c>
      <c r="C59" s="74"/>
      <c r="D59" s="126" t="s">
        <v>74</v>
      </c>
      <c r="E59" s="127" t="s">
        <v>58</v>
      </c>
      <c r="F59" s="127" t="s">
        <v>59</v>
      </c>
      <c r="G59" s="127" t="s">
        <v>75</v>
      </c>
      <c r="H59" s="79" t="s">
        <v>76</v>
      </c>
      <c r="K59" s="64"/>
    </row>
    <row r="60" spans="1:11" s="63" customFormat="1" ht="22.5" customHeight="1" x14ac:dyDescent="0.4">
      <c r="A60" s="77" t="s">
        <v>107</v>
      </c>
      <c r="B60" s="78">
        <v>5</v>
      </c>
      <c r="C60" s="231" t="s">
        <v>77</v>
      </c>
      <c r="D60" s="234">
        <v>1195.02</v>
      </c>
      <c r="E60" s="128">
        <v>1</v>
      </c>
      <c r="F60" s="129">
        <v>28552761</v>
      </c>
      <c r="G60" s="130">
        <f>IF(ISBLANK(F60),"-",(F60/$D$50*$D$47*$B$68)*($B$57/$D$60))</f>
        <v>301.68620018211823</v>
      </c>
      <c r="H60" s="131">
        <f t="shared" ref="H60:H71" si="0">IF(ISBLANK(F60),"-",G60/$B$56)</f>
        <v>1.0056206672737273</v>
      </c>
      <c r="K60" s="64"/>
    </row>
    <row r="61" spans="1:11" s="63" customFormat="1" ht="26.25" customHeight="1" x14ac:dyDescent="0.4">
      <c r="A61" s="77" t="s">
        <v>108</v>
      </c>
      <c r="B61" s="78">
        <v>50</v>
      </c>
      <c r="C61" s="232"/>
      <c r="D61" s="235"/>
      <c r="E61" s="132">
        <v>2</v>
      </c>
      <c r="F61" s="88">
        <v>28042974</v>
      </c>
      <c r="G61" s="133">
        <f>IF(ISBLANK(F61),"-",(F61/$D$50*$D$47*$B$68)*($B$57/$D$60))</f>
        <v>296.29983131459466</v>
      </c>
      <c r="H61" s="134">
        <f t="shared" si="0"/>
        <v>0.98766610438198221</v>
      </c>
      <c r="K61" s="64"/>
    </row>
    <row r="62" spans="1:11" s="63" customFormat="1" ht="26.25" customHeight="1" x14ac:dyDescent="0.4">
      <c r="A62" s="77" t="s">
        <v>109</v>
      </c>
      <c r="B62" s="78">
        <v>1</v>
      </c>
      <c r="C62" s="232"/>
      <c r="D62" s="235"/>
      <c r="E62" s="132">
        <v>3</v>
      </c>
      <c r="F62" s="88">
        <v>28272498</v>
      </c>
      <c r="G62" s="133">
        <f>IF(ISBLANK(F62),"-",(F62/$D$50*$D$47*$B$68)*($B$57/$D$60))</f>
        <v>298.72496363054125</v>
      </c>
      <c r="H62" s="134">
        <f t="shared" si="0"/>
        <v>0.99574987876847088</v>
      </c>
      <c r="K62" s="64"/>
    </row>
    <row r="63" spans="1:11" ht="21" customHeight="1" thickBot="1" x14ac:dyDescent="0.45">
      <c r="A63" s="77" t="s">
        <v>110</v>
      </c>
      <c r="B63" s="78">
        <v>1</v>
      </c>
      <c r="C63" s="233"/>
      <c r="D63" s="236"/>
      <c r="E63" s="135">
        <v>4</v>
      </c>
      <c r="F63" s="136"/>
      <c r="G63" s="133" t="str">
        <f>IF(ISBLANK(F63),"-",(F63/$D$50*$D$47*$B$68)*($B$57/$D$60))</f>
        <v>-</v>
      </c>
      <c r="H63" s="134" t="str">
        <f t="shared" si="0"/>
        <v>-</v>
      </c>
    </row>
    <row r="64" spans="1:11" ht="26.25" customHeight="1" x14ac:dyDescent="0.4">
      <c r="A64" s="77" t="s">
        <v>111</v>
      </c>
      <c r="B64" s="78">
        <v>1</v>
      </c>
      <c r="C64" s="231" t="s">
        <v>78</v>
      </c>
      <c r="D64" s="234">
        <v>1197.78</v>
      </c>
      <c r="E64" s="128">
        <v>1</v>
      </c>
      <c r="F64" s="129">
        <v>28150740</v>
      </c>
      <c r="G64" s="137">
        <f>IF(ISBLANK(F64),"-",(F64/$D$50*$D$47*$B$68)*($B$57/$D$64))</f>
        <v>296.75310184688607</v>
      </c>
      <c r="H64" s="138">
        <f t="shared" si="0"/>
        <v>0.9891770061562869</v>
      </c>
    </row>
    <row r="65" spans="1:8" ht="26.25" customHeight="1" x14ac:dyDescent="0.4">
      <c r="A65" s="77" t="s">
        <v>112</v>
      </c>
      <c r="B65" s="78">
        <v>1</v>
      </c>
      <c r="C65" s="232"/>
      <c r="D65" s="235"/>
      <c r="E65" s="132">
        <v>2</v>
      </c>
      <c r="F65" s="88">
        <v>28294564</v>
      </c>
      <c r="G65" s="139">
        <f>IF(ISBLANK(F65),"-",(F65/$D$50*$D$47*$B$68)*($B$57/$D$64))</f>
        <v>298.26923315000727</v>
      </c>
      <c r="H65" s="140">
        <f t="shared" si="0"/>
        <v>0.99423077716669084</v>
      </c>
    </row>
    <row r="66" spans="1:8" ht="26.25" customHeight="1" x14ac:dyDescent="0.4">
      <c r="A66" s="77" t="s">
        <v>113</v>
      </c>
      <c r="B66" s="78">
        <v>1</v>
      </c>
      <c r="C66" s="232"/>
      <c r="D66" s="235"/>
      <c r="E66" s="132">
        <v>3</v>
      </c>
      <c r="F66" s="88">
        <v>28235623</v>
      </c>
      <c r="G66" s="139">
        <f>IF(ISBLANK(F66),"-",(F66/$D$50*$D$47*$B$68)*($B$57/$D$64))</f>
        <v>297.64790225156702</v>
      </c>
      <c r="H66" s="140">
        <f t="shared" si="0"/>
        <v>0.9921596741718901</v>
      </c>
    </row>
    <row r="67" spans="1:8" ht="21" customHeight="1" thickBot="1" x14ac:dyDescent="0.45">
      <c r="A67" s="77" t="s">
        <v>114</v>
      </c>
      <c r="B67" s="78">
        <v>1</v>
      </c>
      <c r="C67" s="233"/>
      <c r="D67" s="236"/>
      <c r="E67" s="135">
        <v>4</v>
      </c>
      <c r="F67" s="136"/>
      <c r="G67" s="141" t="str">
        <f>IF(ISBLANK(F67),"-",(F67/$D$50*$D$47*$B$68)*($B$57/$D$64))</f>
        <v>-</v>
      </c>
      <c r="H67" s="142" t="str">
        <f t="shared" si="0"/>
        <v>-</v>
      </c>
    </row>
    <row r="68" spans="1:8" ht="21.75" customHeight="1" x14ac:dyDescent="0.4">
      <c r="A68" s="77" t="s">
        <v>79</v>
      </c>
      <c r="B68" s="143">
        <f>(B67/B66)*(B65/B64)*(B63/B62)*(B61/B60)*B59</f>
        <v>1000</v>
      </c>
      <c r="C68" s="231" t="s">
        <v>80</v>
      </c>
      <c r="D68" s="234">
        <v>1196.76</v>
      </c>
      <c r="E68" s="128">
        <v>1</v>
      </c>
      <c r="F68" s="129">
        <v>28338378</v>
      </c>
      <c r="G68" s="137">
        <f>IF(ISBLANK(F68),"-",(F68/$D$50*$D$47*$B$68)*($B$57/$D$68))</f>
        <v>298.98571054271065</v>
      </c>
      <c r="H68" s="134">
        <f t="shared" si="0"/>
        <v>0.99661903514236883</v>
      </c>
    </row>
    <row r="69" spans="1:8" ht="21.75" customHeight="1" thickBot="1" x14ac:dyDescent="0.45">
      <c r="A69" s="144" t="s">
        <v>81</v>
      </c>
      <c r="B69" s="145">
        <f>D47*B68/B56*B57</f>
        <v>1951.3260000000005</v>
      </c>
      <c r="C69" s="232"/>
      <c r="D69" s="235"/>
      <c r="E69" s="132">
        <v>2</v>
      </c>
      <c r="F69" s="88">
        <v>27928390</v>
      </c>
      <c r="G69" s="139">
        <f>IF(ISBLANK(F69),"-",(F69/$D$50*$D$47*$B$68)*($B$57/$D$68))</f>
        <v>294.66010822722222</v>
      </c>
      <c r="H69" s="134">
        <f t="shared" si="0"/>
        <v>0.98220036075740746</v>
      </c>
    </row>
    <row r="70" spans="1:8" ht="22.5" customHeight="1" x14ac:dyDescent="0.4">
      <c r="A70" s="209" t="s">
        <v>64</v>
      </c>
      <c r="B70" s="210"/>
      <c r="C70" s="232"/>
      <c r="D70" s="235"/>
      <c r="E70" s="132">
        <v>3</v>
      </c>
      <c r="F70" s="88">
        <v>27884874</v>
      </c>
      <c r="G70" s="139">
        <f>IF(ISBLANK(F70),"-",(F70/$D$50*$D$47*$B$68)*($B$57/$D$68))</f>
        <v>294.20099013020285</v>
      </c>
      <c r="H70" s="134">
        <f t="shared" si="0"/>
        <v>0.98066996710067622</v>
      </c>
    </row>
    <row r="71" spans="1:8" ht="21.75" customHeight="1" thickBot="1" x14ac:dyDescent="0.45">
      <c r="A71" s="211"/>
      <c r="B71" s="212"/>
      <c r="C71" s="237"/>
      <c r="D71" s="236"/>
      <c r="E71" s="135">
        <v>4</v>
      </c>
      <c r="F71" s="136"/>
      <c r="G71" s="141" t="str">
        <f>IF(ISBLANK(F71),"-",(F71/$D$50*$D$47*$B$68)*($B$57/$D$68))</f>
        <v>-</v>
      </c>
      <c r="H71" s="146" t="str">
        <f t="shared" si="0"/>
        <v>-</v>
      </c>
    </row>
    <row r="72" spans="1:8" ht="26.25" customHeight="1" x14ac:dyDescent="0.4">
      <c r="A72" s="106"/>
      <c r="B72" s="106"/>
      <c r="C72" s="106"/>
      <c r="D72" s="106"/>
      <c r="E72" s="106"/>
      <c r="F72" s="106"/>
      <c r="G72" s="147" t="s">
        <v>61</v>
      </c>
      <c r="H72" s="148">
        <f>AVERAGE(H60:H71)</f>
        <v>0.99156594121327779</v>
      </c>
    </row>
    <row r="73" spans="1:8" ht="26.25" customHeight="1" x14ac:dyDescent="0.4">
      <c r="C73" s="106"/>
      <c r="D73" s="106"/>
      <c r="E73" s="106"/>
      <c r="F73" s="106"/>
      <c r="G73" s="119" t="s">
        <v>69</v>
      </c>
      <c r="H73" s="149">
        <f>STDEV(H60:H71)/H72</f>
        <v>7.7741699248700079E-3</v>
      </c>
    </row>
    <row r="74" spans="1:8" ht="27" customHeight="1" thickBot="1" x14ac:dyDescent="0.45">
      <c r="A74" s="106"/>
      <c r="B74" s="106"/>
      <c r="C74" s="106"/>
      <c r="D74" s="106"/>
      <c r="E74" s="109"/>
      <c r="F74" s="106"/>
      <c r="G74" s="121" t="s">
        <v>19</v>
      </c>
      <c r="H74" s="150">
        <f>COUNT(H60:H71)</f>
        <v>9</v>
      </c>
    </row>
    <row r="75" spans="1:8" ht="18.75" x14ac:dyDescent="0.3">
      <c r="A75" s="106"/>
      <c r="B75" s="106"/>
      <c r="C75" s="106"/>
      <c r="D75" s="106"/>
      <c r="E75" s="109"/>
      <c r="F75" s="106"/>
      <c r="G75" s="61"/>
      <c r="H75" s="65"/>
    </row>
    <row r="76" spans="1:8" ht="18.75" x14ac:dyDescent="0.3">
      <c r="A76" s="60" t="s">
        <v>115</v>
      </c>
      <c r="B76" s="61" t="s">
        <v>89</v>
      </c>
      <c r="C76" s="229" t="str">
        <f>B20</f>
        <v xml:space="preserve">ATAZANAVIR </v>
      </c>
      <c r="D76" s="229"/>
      <c r="E76" s="74" t="s">
        <v>82</v>
      </c>
      <c r="F76" s="74"/>
      <c r="G76" s="151">
        <f>H72</f>
        <v>0.99156594121327779</v>
      </c>
      <c r="H76" s="65"/>
    </row>
    <row r="77" spans="1:8" ht="18.75" x14ac:dyDescent="0.3">
      <c r="A77" s="106"/>
      <c r="B77" s="106"/>
      <c r="C77" s="106"/>
      <c r="D77" s="106"/>
      <c r="E77" s="109"/>
      <c r="F77" s="106"/>
      <c r="G77" s="61"/>
      <c r="H77" s="65"/>
    </row>
    <row r="78" spans="1:8" ht="26.25" customHeight="1" x14ac:dyDescent="0.4">
      <c r="A78" s="59" t="s">
        <v>116</v>
      </c>
      <c r="B78" s="59" t="s">
        <v>117</v>
      </c>
      <c r="D78" s="152" t="s">
        <v>118</v>
      </c>
    </row>
    <row r="79" spans="1:8" ht="18.75" x14ac:dyDescent="0.3">
      <c r="A79" s="59"/>
      <c r="B79" s="59"/>
    </row>
    <row r="80" spans="1:8" ht="26.25" customHeight="1" x14ac:dyDescent="0.4">
      <c r="A80" s="60" t="s">
        <v>3</v>
      </c>
      <c r="B80" s="214" t="str">
        <f>B26</f>
        <v>Atazanavir sulfate</v>
      </c>
      <c r="C80" s="214"/>
    </row>
    <row r="81" spans="1:11" ht="26.25" customHeight="1" x14ac:dyDescent="0.4">
      <c r="A81" s="61" t="s">
        <v>46</v>
      </c>
      <c r="B81" s="62" t="str">
        <f>B27</f>
        <v>A48-1</v>
      </c>
    </row>
    <row r="82" spans="1:11" ht="27" customHeight="1" thickBot="1" x14ac:dyDescent="0.45">
      <c r="A82" s="61" t="s">
        <v>5</v>
      </c>
      <c r="B82" s="62">
        <f>B28</f>
        <v>99.3</v>
      </c>
    </row>
    <row r="83" spans="1:11" s="63" customFormat="1" ht="27" customHeight="1" thickBot="1" x14ac:dyDescent="0.45">
      <c r="A83" s="61" t="s">
        <v>47</v>
      </c>
      <c r="B83" s="62">
        <f>B29</f>
        <v>0</v>
      </c>
      <c r="C83" s="215" t="s">
        <v>48</v>
      </c>
      <c r="D83" s="216"/>
      <c r="E83" s="216"/>
      <c r="F83" s="216"/>
      <c r="G83" s="217"/>
      <c r="I83" s="64"/>
      <c r="J83" s="64"/>
      <c r="K83" s="64"/>
    </row>
    <row r="84" spans="1:11" s="63" customFormat="1" ht="19.5" customHeight="1" thickBot="1" x14ac:dyDescent="0.35">
      <c r="A84" s="61" t="s">
        <v>49</v>
      </c>
      <c r="B84" s="65">
        <f>B82-B83</f>
        <v>99.3</v>
      </c>
      <c r="C84" s="66"/>
      <c r="D84" s="66"/>
      <c r="E84" s="66"/>
      <c r="F84" s="66"/>
      <c r="G84" s="67"/>
      <c r="I84" s="64"/>
      <c r="J84" s="64"/>
      <c r="K84" s="64"/>
    </row>
    <row r="85" spans="1:11" s="63" customFormat="1" ht="27" customHeight="1" thickBot="1" x14ac:dyDescent="0.45">
      <c r="A85" s="61" t="s">
        <v>50</v>
      </c>
      <c r="B85" s="68">
        <v>704.9</v>
      </c>
      <c r="C85" s="218" t="s">
        <v>51</v>
      </c>
      <c r="D85" s="219"/>
      <c r="E85" s="219"/>
      <c r="F85" s="219"/>
      <c r="G85" s="219"/>
      <c r="H85" s="220"/>
      <c r="I85" s="64"/>
      <c r="J85" s="64"/>
      <c r="K85" s="64"/>
    </row>
    <row r="86" spans="1:11" s="63" customFormat="1" ht="27" customHeight="1" thickBot="1" x14ac:dyDescent="0.45">
      <c r="A86" s="61" t="s">
        <v>52</v>
      </c>
      <c r="B86" s="68">
        <v>802.9</v>
      </c>
      <c r="C86" s="218" t="s">
        <v>53</v>
      </c>
      <c r="D86" s="219"/>
      <c r="E86" s="219"/>
      <c r="F86" s="219"/>
      <c r="G86" s="219"/>
      <c r="H86" s="220"/>
      <c r="I86" s="64"/>
      <c r="J86" s="64"/>
      <c r="K86" s="64"/>
    </row>
    <row r="87" spans="1:11" s="63" customFormat="1" ht="18.75" x14ac:dyDescent="0.3">
      <c r="A87" s="61"/>
      <c r="B87" s="65"/>
      <c r="C87" s="66"/>
      <c r="D87" s="66"/>
      <c r="E87" s="66"/>
      <c r="F87" s="66"/>
      <c r="G87" s="67"/>
      <c r="I87" s="64"/>
      <c r="J87" s="64"/>
      <c r="K87" s="64"/>
    </row>
    <row r="88" spans="1:11" s="63" customFormat="1" ht="18.75" x14ac:dyDescent="0.3">
      <c r="A88" s="61" t="s">
        <v>54</v>
      </c>
      <c r="B88" s="73">
        <f>B85/B86</f>
        <v>0.87794245858761988</v>
      </c>
      <c r="C88" s="74" t="s">
        <v>55</v>
      </c>
      <c r="D88" s="66"/>
      <c r="E88" s="66"/>
      <c r="F88" s="66"/>
      <c r="G88" s="67"/>
      <c r="I88" s="64"/>
      <c r="J88" s="64"/>
      <c r="K88" s="64"/>
    </row>
    <row r="89" spans="1:11" ht="19.5" customHeight="1" thickBot="1" x14ac:dyDescent="0.35">
      <c r="A89" s="59"/>
      <c r="B89" s="59"/>
    </row>
    <row r="90" spans="1:11" ht="27" customHeight="1" thickBot="1" x14ac:dyDescent="0.45">
      <c r="A90" s="75" t="s">
        <v>95</v>
      </c>
      <c r="B90" s="76">
        <v>100</v>
      </c>
      <c r="D90" s="153" t="s">
        <v>56</v>
      </c>
      <c r="E90" s="154"/>
      <c r="F90" s="221" t="s">
        <v>57</v>
      </c>
      <c r="G90" s="222"/>
    </row>
    <row r="91" spans="1:11" ht="26.25" customHeight="1" x14ac:dyDescent="0.4">
      <c r="A91" s="77" t="s">
        <v>96</v>
      </c>
      <c r="B91" s="78">
        <v>1</v>
      </c>
      <c r="C91" s="155" t="s">
        <v>97</v>
      </c>
      <c r="D91" s="80" t="s">
        <v>59</v>
      </c>
      <c r="E91" s="81" t="s">
        <v>60</v>
      </c>
      <c r="F91" s="80" t="s">
        <v>59</v>
      </c>
      <c r="G91" s="82" t="s">
        <v>60</v>
      </c>
    </row>
    <row r="92" spans="1:11" ht="26.25" customHeight="1" x14ac:dyDescent="0.4">
      <c r="A92" s="77" t="s">
        <v>98</v>
      </c>
      <c r="B92" s="78">
        <v>1</v>
      </c>
      <c r="C92" s="156">
        <v>1</v>
      </c>
      <c r="D92" s="84">
        <v>41465697</v>
      </c>
      <c r="E92" s="85">
        <f>IF(ISBLANK(D92),"-",$D$102/$D$99*D92)</f>
        <v>45558893.744988903</v>
      </c>
      <c r="F92" s="84">
        <v>44681875</v>
      </c>
      <c r="G92" s="86">
        <f>IF(ISBLANK(F92),"-",$D$102/$F$99*F92)</f>
        <v>46749123.140904382</v>
      </c>
    </row>
    <row r="93" spans="1:11" ht="26.25" customHeight="1" x14ac:dyDescent="0.4">
      <c r="A93" s="77" t="s">
        <v>99</v>
      </c>
      <c r="B93" s="78">
        <v>1</v>
      </c>
      <c r="C93" s="106">
        <v>2</v>
      </c>
      <c r="D93" s="88">
        <v>41509834</v>
      </c>
      <c r="E93" s="89">
        <f>IF(ISBLANK(D93),"-",$D$102/$D$99*D93)</f>
        <v>45607387.633641556</v>
      </c>
      <c r="F93" s="88">
        <v>44771803</v>
      </c>
      <c r="G93" s="90">
        <f>IF(ISBLANK(F93),"-",$D$102/$F$99*F93)</f>
        <v>46843211.742732644</v>
      </c>
    </row>
    <row r="94" spans="1:11" ht="26.25" customHeight="1" x14ac:dyDescent="0.4">
      <c r="A94" s="77" t="s">
        <v>100</v>
      </c>
      <c r="B94" s="78">
        <v>1</v>
      </c>
      <c r="C94" s="106">
        <v>3</v>
      </c>
      <c r="D94" s="88">
        <v>41620732</v>
      </c>
      <c r="E94" s="89">
        <f>IF(ISBLANK(D94),"-",$D$102/$D$99*D94)</f>
        <v>45729232.690256223</v>
      </c>
      <c r="F94" s="88">
        <v>44932542</v>
      </c>
      <c r="G94" s="90">
        <f>IF(ISBLANK(F94),"-",$D$102/$F$99*F94)</f>
        <v>47011387.480759434</v>
      </c>
    </row>
    <row r="95" spans="1:11" ht="26.25" customHeight="1" x14ac:dyDescent="0.4">
      <c r="A95" s="77" t="s">
        <v>101</v>
      </c>
      <c r="B95" s="78">
        <v>1</v>
      </c>
      <c r="C95" s="157">
        <v>4</v>
      </c>
      <c r="D95" s="92"/>
      <c r="E95" s="93" t="str">
        <f>IF(ISBLANK(D95),"-",$D$102/$D$99*D95)</f>
        <v>-</v>
      </c>
      <c r="F95" s="158"/>
      <c r="G95" s="94" t="str">
        <f>IF(ISBLANK(F95),"-",$D$102/$F$99*F95)</f>
        <v>-</v>
      </c>
    </row>
    <row r="96" spans="1:11" ht="27" customHeight="1" thickBot="1" x14ac:dyDescent="0.45">
      <c r="A96" s="77" t="s">
        <v>102</v>
      </c>
      <c r="B96" s="78">
        <v>1</v>
      </c>
      <c r="C96" s="61" t="s">
        <v>61</v>
      </c>
      <c r="D96" s="159">
        <f>AVERAGE(D92:D95)</f>
        <v>41532087.666666664</v>
      </c>
      <c r="E96" s="97">
        <f>AVERAGE(E92:E95)</f>
        <v>45631838.022962235</v>
      </c>
      <c r="F96" s="160">
        <f>AVERAGE(F92:F95)</f>
        <v>44795406.666666664</v>
      </c>
      <c r="G96" s="161">
        <f>AVERAGE(G92:G95)</f>
        <v>46867907.454798818</v>
      </c>
    </row>
    <row r="97" spans="1:9" ht="26.25" customHeight="1" x14ac:dyDescent="0.4">
      <c r="A97" s="77" t="s">
        <v>103</v>
      </c>
      <c r="B97" s="62">
        <v>1</v>
      </c>
      <c r="C97" s="101" t="s">
        <v>83</v>
      </c>
      <c r="D97" s="102">
        <v>31.32</v>
      </c>
      <c r="E97" s="74"/>
      <c r="F97" s="103">
        <v>32.89</v>
      </c>
    </row>
    <row r="98" spans="1:9" ht="26.25" customHeight="1" x14ac:dyDescent="0.4">
      <c r="A98" s="77" t="s">
        <v>104</v>
      </c>
      <c r="B98" s="62">
        <v>1</v>
      </c>
      <c r="C98" s="104" t="s">
        <v>84</v>
      </c>
      <c r="D98" s="105">
        <f>D97*B88</f>
        <v>27.497157802964256</v>
      </c>
      <c r="E98" s="106"/>
      <c r="F98" s="107">
        <f>F97*B88</f>
        <v>28.875527462946817</v>
      </c>
    </row>
    <row r="99" spans="1:9" ht="19.5" customHeight="1" thickBot="1" x14ac:dyDescent="0.35">
      <c r="A99" s="77" t="s">
        <v>62</v>
      </c>
      <c r="B99" s="65">
        <f>(B98/B97)*(B96/B95)*(B94/B93)*(B92/B91)*B90</f>
        <v>100</v>
      </c>
      <c r="C99" s="104" t="s">
        <v>63</v>
      </c>
      <c r="D99" s="108">
        <f>D98*$B$84/100</f>
        <v>27.304677698343507</v>
      </c>
      <c r="E99" s="109"/>
      <c r="F99" s="110">
        <f>F98*$B$84/100</f>
        <v>28.673398770706189</v>
      </c>
    </row>
    <row r="100" spans="1:9" ht="19.5" customHeight="1" thickBot="1" x14ac:dyDescent="0.35">
      <c r="A100" s="223" t="s">
        <v>64</v>
      </c>
      <c r="B100" s="224"/>
      <c r="C100" s="104" t="s">
        <v>65</v>
      </c>
      <c r="D100" s="105">
        <f>D99/$B$99</f>
        <v>0.27304677698343505</v>
      </c>
      <c r="E100" s="109"/>
      <c r="F100" s="111">
        <f>F99/$B$99</f>
        <v>0.28673398770706188</v>
      </c>
      <c r="H100" s="100"/>
    </row>
    <row r="101" spans="1:9" ht="19.5" customHeight="1" thickBot="1" x14ac:dyDescent="0.35">
      <c r="A101" s="225"/>
      <c r="B101" s="226"/>
      <c r="C101" s="104" t="s">
        <v>105</v>
      </c>
      <c r="D101" s="108">
        <v>0.3</v>
      </c>
      <c r="F101" s="113"/>
      <c r="G101" s="162"/>
      <c r="H101" s="100"/>
    </row>
    <row r="102" spans="1:9" ht="18.75" x14ac:dyDescent="0.3">
      <c r="C102" s="104" t="s">
        <v>66</v>
      </c>
      <c r="D102" s="105">
        <f>D101*$B$99</f>
        <v>30</v>
      </c>
      <c r="F102" s="113"/>
      <c r="H102" s="100"/>
    </row>
    <row r="103" spans="1:9" ht="19.5" customHeight="1" thickBot="1" x14ac:dyDescent="0.35">
      <c r="C103" s="114" t="s">
        <v>67</v>
      </c>
      <c r="D103" s="115">
        <f>D102/B34</f>
        <v>34.1708043694141</v>
      </c>
      <c r="F103" s="116"/>
      <c r="H103" s="100"/>
      <c r="I103" s="163"/>
    </row>
    <row r="104" spans="1:9" ht="18.75" x14ac:dyDescent="0.3">
      <c r="C104" s="117" t="s">
        <v>85</v>
      </c>
      <c r="D104" s="118">
        <f>AVERAGE(E92:E95,G92:G95)</f>
        <v>46249872.738880523</v>
      </c>
      <c r="F104" s="116"/>
      <c r="G104" s="162"/>
      <c r="H104" s="100"/>
      <c r="I104" s="164"/>
    </row>
    <row r="105" spans="1:9" ht="18.75" x14ac:dyDescent="0.3">
      <c r="C105" s="119" t="s">
        <v>69</v>
      </c>
      <c r="D105" s="165">
        <f>STDEV(E92:E95,G92:G95)/D104</f>
        <v>1.4799442854571077E-2</v>
      </c>
      <c r="F105" s="116"/>
      <c r="H105" s="100"/>
      <c r="I105" s="164"/>
    </row>
    <row r="106" spans="1:9" ht="19.5" customHeight="1" thickBot="1" x14ac:dyDescent="0.35">
      <c r="C106" s="121" t="s">
        <v>19</v>
      </c>
      <c r="D106" s="166">
        <f>COUNT(E92:E95,G92:G95)</f>
        <v>6</v>
      </c>
      <c r="F106" s="116"/>
      <c r="H106" s="100"/>
      <c r="I106" s="164"/>
    </row>
    <row r="107" spans="1:9" ht="19.5" customHeight="1" thickBot="1" x14ac:dyDescent="0.35">
      <c r="A107" s="49"/>
      <c r="B107" s="49"/>
      <c r="C107" s="49"/>
      <c r="D107" s="49"/>
      <c r="E107" s="49"/>
    </row>
    <row r="108" spans="1:9" ht="26.25" customHeight="1" x14ac:dyDescent="0.4">
      <c r="A108" s="75" t="s">
        <v>86</v>
      </c>
      <c r="B108" s="76">
        <v>1000</v>
      </c>
      <c r="C108" s="153" t="s">
        <v>119</v>
      </c>
      <c r="D108" s="167" t="s">
        <v>59</v>
      </c>
      <c r="E108" s="168" t="s">
        <v>87</v>
      </c>
      <c r="F108" s="169" t="s">
        <v>88</v>
      </c>
    </row>
    <row r="109" spans="1:9" ht="26.25" customHeight="1" x14ac:dyDescent="0.4">
      <c r="A109" s="77" t="s">
        <v>107</v>
      </c>
      <c r="B109" s="78">
        <v>1</v>
      </c>
      <c r="C109" s="170">
        <v>1</v>
      </c>
      <c r="D109" s="171">
        <v>38479978</v>
      </c>
      <c r="E109" s="172">
        <f t="shared" ref="E109:E114" si="1">IF(ISBLANK(D109),"-",D109/$D$104*$D$101*$B$117)</f>
        <v>249.60054409610083</v>
      </c>
      <c r="F109" s="173">
        <f>IF(ISBLANK(D109), "-", E109/$B$56)</f>
        <v>0.83200181365366943</v>
      </c>
    </row>
    <row r="110" spans="1:9" ht="26.25" customHeight="1" x14ac:dyDescent="0.4">
      <c r="A110" s="77" t="s">
        <v>108</v>
      </c>
      <c r="B110" s="78">
        <v>1</v>
      </c>
      <c r="C110" s="170">
        <v>2</v>
      </c>
      <c r="D110" s="171">
        <v>33541896</v>
      </c>
      <c r="E110" s="174">
        <f t="shared" si="1"/>
        <v>217.56965379800448</v>
      </c>
      <c r="F110" s="175">
        <f t="shared" ref="F110:F114" si="2">IF(ISBLANK(D110), "-", E110/$B$56)</f>
        <v>0.7252321793266816</v>
      </c>
    </row>
    <row r="111" spans="1:9" ht="26.25" customHeight="1" x14ac:dyDescent="0.4">
      <c r="A111" s="77" t="s">
        <v>109</v>
      </c>
      <c r="B111" s="78">
        <v>1</v>
      </c>
      <c r="C111" s="170">
        <v>3</v>
      </c>
      <c r="D111" s="171">
        <v>34768848</v>
      </c>
      <c r="E111" s="174">
        <f t="shared" si="1"/>
        <v>225.52828326447138</v>
      </c>
      <c r="F111" s="175">
        <f t="shared" si="2"/>
        <v>0.75176094421490458</v>
      </c>
    </row>
    <row r="112" spans="1:9" ht="26.25" customHeight="1" x14ac:dyDescent="0.4">
      <c r="A112" s="77" t="s">
        <v>110</v>
      </c>
      <c r="B112" s="78">
        <v>1</v>
      </c>
      <c r="C112" s="170">
        <v>4</v>
      </c>
      <c r="D112" s="171">
        <v>26484544</v>
      </c>
      <c r="E112" s="174">
        <f t="shared" si="1"/>
        <v>171.79210945851173</v>
      </c>
      <c r="F112" s="175">
        <f t="shared" si="2"/>
        <v>0.57264036486170578</v>
      </c>
    </row>
    <row r="113" spans="1:9" ht="26.25" customHeight="1" x14ac:dyDescent="0.4">
      <c r="A113" s="77" t="s">
        <v>111</v>
      </c>
      <c r="B113" s="78">
        <v>1</v>
      </c>
      <c r="C113" s="170">
        <v>5</v>
      </c>
      <c r="D113" s="171">
        <v>36554429</v>
      </c>
      <c r="E113" s="174">
        <f t="shared" si="1"/>
        <v>237.11046216092657</v>
      </c>
      <c r="F113" s="175">
        <f t="shared" si="2"/>
        <v>0.79036820720308854</v>
      </c>
    </row>
    <row r="114" spans="1:9" ht="26.25" customHeight="1" x14ac:dyDescent="0.4">
      <c r="A114" s="77" t="s">
        <v>112</v>
      </c>
      <c r="B114" s="78">
        <v>1</v>
      </c>
      <c r="C114" s="176">
        <v>6</v>
      </c>
      <c r="D114" s="177">
        <v>42655276</v>
      </c>
      <c r="E114" s="178">
        <f t="shared" si="1"/>
        <v>276.68363267175863</v>
      </c>
      <c r="F114" s="179">
        <f t="shared" si="2"/>
        <v>0.9222787755725288</v>
      </c>
    </row>
    <row r="115" spans="1:9" ht="26.25" customHeight="1" x14ac:dyDescent="0.4">
      <c r="A115" s="77" t="s">
        <v>113</v>
      </c>
      <c r="B115" s="78">
        <v>1</v>
      </c>
      <c r="C115" s="170"/>
      <c r="D115" s="106"/>
      <c r="E115" s="74"/>
      <c r="F115" s="180"/>
    </row>
    <row r="116" spans="1:9" ht="26.25" customHeight="1" x14ac:dyDescent="0.4">
      <c r="A116" s="77" t="s">
        <v>114</v>
      </c>
      <c r="B116" s="78">
        <v>1</v>
      </c>
      <c r="C116" s="170"/>
      <c r="D116" s="181"/>
      <c r="E116" s="182" t="s">
        <v>61</v>
      </c>
      <c r="F116" s="183">
        <f>AVERAGE(F109:F114)</f>
        <v>0.7657137141387631</v>
      </c>
    </row>
    <row r="117" spans="1:9" ht="27" customHeight="1" thickBot="1" x14ac:dyDescent="0.45">
      <c r="A117" s="77" t="s">
        <v>79</v>
      </c>
      <c r="B117" s="143">
        <f>(B116/B115)*(B114/B113)*(B112/B111)*(B110/B109)*B108</f>
        <v>1000</v>
      </c>
      <c r="C117" s="184"/>
      <c r="D117" s="185"/>
      <c r="E117" s="61" t="s">
        <v>69</v>
      </c>
      <c r="F117" s="186">
        <f>STDEV(F109:F114)/F116</f>
        <v>0.15299977306459006</v>
      </c>
    </row>
    <row r="118" spans="1:9" ht="27" customHeight="1" thickBot="1" x14ac:dyDescent="0.45">
      <c r="A118" s="223" t="s">
        <v>64</v>
      </c>
      <c r="B118" s="227"/>
      <c r="C118" s="187"/>
      <c r="D118" s="188"/>
      <c r="E118" s="189" t="s">
        <v>19</v>
      </c>
      <c r="F118" s="190">
        <f>COUNT(F109:F114)</f>
        <v>6</v>
      </c>
      <c r="I118" s="164"/>
    </row>
    <row r="119" spans="1:9" ht="19.5" customHeight="1" thickBot="1" x14ac:dyDescent="0.35">
      <c r="A119" s="225"/>
      <c r="B119" s="228"/>
      <c r="C119" s="74"/>
      <c r="D119" s="74"/>
      <c r="E119" s="74"/>
      <c r="F119" s="106"/>
      <c r="G119" s="74"/>
      <c r="H119" s="74"/>
    </row>
    <row r="120" spans="1:9" ht="18.75" x14ac:dyDescent="0.3">
      <c r="A120" s="72"/>
      <c r="B120" s="72"/>
      <c r="C120" s="74"/>
      <c r="D120" s="74"/>
      <c r="E120" s="74"/>
      <c r="F120" s="106"/>
      <c r="G120" s="74"/>
      <c r="H120" s="74"/>
    </row>
    <row r="121" spans="1:9" ht="26.25" customHeight="1" x14ac:dyDescent="0.4">
      <c r="A121" s="60" t="s">
        <v>115</v>
      </c>
      <c r="B121" s="61" t="s">
        <v>89</v>
      </c>
      <c r="C121" s="229" t="str">
        <f>B20</f>
        <v xml:space="preserve">ATAZANAVIR </v>
      </c>
      <c r="D121" s="229"/>
      <c r="E121" s="74" t="s">
        <v>90</v>
      </c>
      <c r="F121" s="74"/>
      <c r="G121" s="191">
        <f>F116</f>
        <v>0.7657137141387631</v>
      </c>
      <c r="H121" s="74"/>
    </row>
    <row r="122" spans="1:9" ht="18.75" x14ac:dyDescent="0.3">
      <c r="A122" s="72"/>
      <c r="B122" s="72"/>
      <c r="C122" s="74"/>
      <c r="D122" s="74"/>
      <c r="E122" s="74"/>
      <c r="F122" s="106"/>
      <c r="G122" s="74"/>
      <c r="H122" s="74"/>
    </row>
    <row r="123" spans="1:9" ht="26.25" customHeight="1" x14ac:dyDescent="0.4">
      <c r="A123" s="59" t="s">
        <v>116</v>
      </c>
      <c r="B123" s="59" t="s">
        <v>117</v>
      </c>
      <c r="D123" s="152" t="s">
        <v>120</v>
      </c>
    </row>
    <row r="124" spans="1:9" ht="19.5" customHeight="1" thickBot="1" x14ac:dyDescent="0.35">
      <c r="A124" s="49"/>
      <c r="B124" s="49"/>
      <c r="C124" s="49"/>
      <c r="D124" s="49"/>
      <c r="E124" s="49"/>
    </row>
    <row r="125" spans="1:9" ht="26.25" customHeight="1" x14ac:dyDescent="0.4">
      <c r="A125" s="75" t="s">
        <v>86</v>
      </c>
      <c r="B125" s="192">
        <v>1000</v>
      </c>
      <c r="C125" s="153" t="s">
        <v>119</v>
      </c>
      <c r="D125" s="167" t="s">
        <v>59</v>
      </c>
      <c r="E125" s="168" t="s">
        <v>87</v>
      </c>
      <c r="F125" s="169" t="s">
        <v>88</v>
      </c>
    </row>
    <row r="126" spans="1:9" ht="26.25" customHeight="1" x14ac:dyDescent="0.4">
      <c r="A126" s="77" t="s">
        <v>107</v>
      </c>
      <c r="B126" s="193">
        <v>1</v>
      </c>
      <c r="C126" s="170">
        <v>1</v>
      </c>
      <c r="D126" s="171">
        <v>45521726</v>
      </c>
      <c r="E126" s="194">
        <f>IF(ISBLANK(D126),"-",D126/$D$104*$D$101*$B$134)</f>
        <v>295.27687302195494</v>
      </c>
      <c r="F126" s="195">
        <f>IF(ISBLANK(D126), "-", E126/$B$56)</f>
        <v>0.98425624340651652</v>
      </c>
    </row>
    <row r="127" spans="1:9" ht="26.25" customHeight="1" x14ac:dyDescent="0.4">
      <c r="A127" s="77" t="s">
        <v>108</v>
      </c>
      <c r="B127" s="193">
        <v>1</v>
      </c>
      <c r="C127" s="170">
        <v>2</v>
      </c>
      <c r="D127" s="171">
        <v>50363070</v>
      </c>
      <c r="E127" s="196">
        <f t="shared" ref="E127:E131" si="3">IF(ISBLANK(D127),"-",D127/$D$104*$D$101*$B$134)</f>
        <v>326.6802718637212</v>
      </c>
      <c r="F127" s="197">
        <f t="shared" ref="F127:F131" si="4">IF(ISBLANK(D127), "-", E127/$B$56)</f>
        <v>1.0889342395457373</v>
      </c>
    </row>
    <row r="128" spans="1:9" ht="26.25" customHeight="1" x14ac:dyDescent="0.4">
      <c r="A128" s="77" t="s">
        <v>109</v>
      </c>
      <c r="B128" s="193">
        <v>1</v>
      </c>
      <c r="C128" s="170">
        <v>3</v>
      </c>
      <c r="D128" s="171">
        <v>47229444</v>
      </c>
      <c r="E128" s="196">
        <f t="shared" si="3"/>
        <v>306.35399323139751</v>
      </c>
      <c r="F128" s="197">
        <f t="shared" si="4"/>
        <v>1.0211799774379917</v>
      </c>
    </row>
    <row r="129" spans="1:9" ht="26.25" customHeight="1" x14ac:dyDescent="0.4">
      <c r="A129" s="77" t="s">
        <v>110</v>
      </c>
      <c r="B129" s="193">
        <v>1</v>
      </c>
      <c r="C129" s="170">
        <v>4</v>
      </c>
      <c r="D129" s="171">
        <v>45468181</v>
      </c>
      <c r="E129" s="196">
        <f t="shared" si="3"/>
        <v>294.92955314735354</v>
      </c>
      <c r="F129" s="197">
        <f t="shared" si="4"/>
        <v>0.98309851049117847</v>
      </c>
    </row>
    <row r="130" spans="1:9" ht="26.25" customHeight="1" x14ac:dyDescent="0.4">
      <c r="A130" s="77" t="s">
        <v>111</v>
      </c>
      <c r="B130" s="193">
        <v>1</v>
      </c>
      <c r="C130" s="170">
        <v>5</v>
      </c>
      <c r="D130" s="171">
        <v>44303263</v>
      </c>
      <c r="E130" s="196">
        <f t="shared" si="3"/>
        <v>287.37330749078529</v>
      </c>
      <c r="F130" s="197">
        <f t="shared" si="4"/>
        <v>0.95791102496928426</v>
      </c>
    </row>
    <row r="131" spans="1:9" ht="26.25" customHeight="1" x14ac:dyDescent="0.4">
      <c r="A131" s="77" t="s">
        <v>112</v>
      </c>
      <c r="B131" s="193">
        <v>1</v>
      </c>
      <c r="C131" s="176">
        <v>6</v>
      </c>
      <c r="D131" s="177">
        <v>47131931</v>
      </c>
      <c r="E131" s="198">
        <f t="shared" si="3"/>
        <v>305.72147473420802</v>
      </c>
      <c r="F131" s="199">
        <f t="shared" si="4"/>
        <v>1.01907158244736</v>
      </c>
    </row>
    <row r="132" spans="1:9" ht="26.25" customHeight="1" x14ac:dyDescent="0.4">
      <c r="A132" s="77" t="s">
        <v>113</v>
      </c>
      <c r="B132" s="193">
        <v>1</v>
      </c>
      <c r="C132" s="170"/>
      <c r="D132" s="106"/>
      <c r="E132" s="74"/>
      <c r="F132" s="180"/>
    </row>
    <row r="133" spans="1:9" ht="26.25" customHeight="1" x14ac:dyDescent="0.4">
      <c r="A133" s="77" t="s">
        <v>114</v>
      </c>
      <c r="B133" s="193">
        <v>1</v>
      </c>
      <c r="C133" s="170"/>
      <c r="D133" s="181"/>
      <c r="E133" s="182" t="s">
        <v>61</v>
      </c>
      <c r="F133" s="183">
        <f>AVERAGE(F126:F131)</f>
        <v>1.009075263049678</v>
      </c>
    </row>
    <row r="134" spans="1:9" ht="27" customHeight="1" thickBot="1" x14ac:dyDescent="0.45">
      <c r="A134" s="77" t="s">
        <v>79</v>
      </c>
      <c r="B134" s="200">
        <f>(B133/B132)*(B131/B130)*(B129/B128)*(B127/B126)*B125</f>
        <v>1000</v>
      </c>
      <c r="C134" s="184"/>
      <c r="D134" s="185"/>
      <c r="E134" s="61" t="s">
        <v>69</v>
      </c>
      <c r="F134" s="186">
        <f>STDEV(F126:F131)/F133</f>
        <v>4.5483761563586134E-2</v>
      </c>
    </row>
    <row r="135" spans="1:9" ht="27" customHeight="1" thickBot="1" x14ac:dyDescent="0.45">
      <c r="A135" s="223" t="s">
        <v>64</v>
      </c>
      <c r="B135" s="227"/>
      <c r="C135" s="187"/>
      <c r="D135" s="188"/>
      <c r="E135" s="189" t="s">
        <v>19</v>
      </c>
      <c r="F135" s="190">
        <f>COUNT(F126:F131)</f>
        <v>6</v>
      </c>
      <c r="I135" s="164"/>
    </row>
    <row r="136" spans="1:9" ht="19.5" customHeight="1" thickBot="1" x14ac:dyDescent="0.35">
      <c r="A136" s="225"/>
      <c r="B136" s="228"/>
      <c r="C136" s="74"/>
      <c r="D136" s="74"/>
      <c r="E136" s="74"/>
      <c r="F136" s="106"/>
      <c r="G136" s="74"/>
      <c r="H136" s="74"/>
    </row>
    <row r="137" spans="1:9" ht="18.75" x14ac:dyDescent="0.3">
      <c r="A137" s="72"/>
      <c r="B137" s="72"/>
      <c r="C137" s="74"/>
      <c r="D137" s="74"/>
      <c r="E137" s="74"/>
      <c r="F137" s="106"/>
      <c r="G137" s="74"/>
      <c r="H137" s="74"/>
    </row>
    <row r="138" spans="1:9" ht="26.25" customHeight="1" x14ac:dyDescent="0.4">
      <c r="A138" s="60" t="s">
        <v>115</v>
      </c>
      <c r="B138" s="61" t="s">
        <v>89</v>
      </c>
      <c r="C138" s="229" t="str">
        <f>B20</f>
        <v xml:space="preserve">ATAZANAVIR </v>
      </c>
      <c r="D138" s="229"/>
      <c r="E138" s="74" t="s">
        <v>90</v>
      </c>
      <c r="F138" s="74"/>
      <c r="G138" s="191">
        <f>F133</f>
        <v>1.009075263049678</v>
      </c>
      <c r="H138" s="74"/>
    </row>
    <row r="139" spans="1:9" ht="19.5" customHeight="1" thickBot="1" x14ac:dyDescent="0.35">
      <c r="A139" s="201"/>
      <c r="B139" s="201"/>
      <c r="C139" s="202"/>
      <c r="D139" s="202"/>
      <c r="E139" s="202"/>
      <c r="F139" s="202"/>
      <c r="G139" s="202"/>
      <c r="H139" s="202"/>
    </row>
    <row r="140" spans="1:9" ht="18.75" x14ac:dyDescent="0.3">
      <c r="B140" s="213" t="s">
        <v>24</v>
      </c>
      <c r="C140" s="213"/>
      <c r="E140" s="155" t="s">
        <v>25</v>
      </c>
      <c r="F140" s="203"/>
      <c r="G140" s="213" t="s">
        <v>26</v>
      </c>
      <c r="H140" s="213"/>
    </row>
    <row r="141" spans="1:9" ht="83.1" customHeight="1" x14ac:dyDescent="0.3">
      <c r="A141" s="60" t="s">
        <v>27</v>
      </c>
      <c r="B141" s="204"/>
      <c r="C141" s="204"/>
      <c r="E141" s="205"/>
      <c r="F141" s="74"/>
      <c r="G141" s="205"/>
      <c r="H141" s="205"/>
    </row>
    <row r="142" spans="1:9" ht="83.1" customHeight="1" x14ac:dyDescent="0.3">
      <c r="A142" s="60" t="s">
        <v>28</v>
      </c>
      <c r="B142" s="206"/>
      <c r="C142" s="206"/>
      <c r="E142" s="207"/>
      <c r="F142" s="74"/>
      <c r="G142" s="208"/>
      <c r="H142" s="208"/>
    </row>
    <row r="143" spans="1:9" ht="18.75" x14ac:dyDescent="0.3">
      <c r="A143" s="106"/>
      <c r="B143" s="106"/>
      <c r="C143" s="106"/>
      <c r="D143" s="106"/>
      <c r="E143" s="106"/>
      <c r="F143" s="109"/>
      <c r="G143" s="106"/>
      <c r="H143" s="106"/>
    </row>
    <row r="144" spans="1:9" ht="18.75" x14ac:dyDescent="0.3">
      <c r="A144" s="106"/>
      <c r="B144" s="106"/>
      <c r="C144" s="106"/>
      <c r="D144" s="106"/>
      <c r="E144" s="106"/>
      <c r="F144" s="109"/>
      <c r="G144" s="106"/>
      <c r="H144" s="106"/>
    </row>
    <row r="145" spans="1:8" ht="18.75" x14ac:dyDescent="0.3">
      <c r="A145" s="106"/>
      <c r="B145" s="106"/>
      <c r="C145" s="106"/>
      <c r="D145" s="106"/>
      <c r="E145" s="106"/>
      <c r="F145" s="109"/>
      <c r="G145" s="106"/>
      <c r="H145" s="106"/>
    </row>
    <row r="146" spans="1:8" ht="18.75" x14ac:dyDescent="0.3">
      <c r="A146" s="106"/>
      <c r="B146" s="106"/>
      <c r="C146" s="106"/>
      <c r="D146" s="106"/>
      <c r="E146" s="106"/>
      <c r="F146" s="109"/>
      <c r="G146" s="106"/>
      <c r="H146" s="106"/>
    </row>
    <row r="147" spans="1:8" ht="18.75" x14ac:dyDescent="0.3">
      <c r="A147" s="106"/>
      <c r="B147" s="106"/>
      <c r="C147" s="106"/>
      <c r="D147" s="106"/>
      <c r="E147" s="106"/>
      <c r="F147" s="109"/>
      <c r="G147" s="106"/>
      <c r="H147" s="106"/>
    </row>
    <row r="148" spans="1:8" ht="18.75" x14ac:dyDescent="0.3">
      <c r="A148" s="106"/>
      <c r="B148" s="106"/>
      <c r="C148" s="106"/>
      <c r="D148" s="106"/>
      <c r="E148" s="106"/>
      <c r="F148" s="109"/>
      <c r="G148" s="106"/>
      <c r="H148" s="106"/>
    </row>
    <row r="149" spans="1:8" ht="18.75" x14ac:dyDescent="0.3">
      <c r="A149" s="106"/>
      <c r="B149" s="106"/>
      <c r="C149" s="106"/>
      <c r="D149" s="106"/>
      <c r="E149" s="106"/>
      <c r="F149" s="109"/>
      <c r="G149" s="106"/>
      <c r="H149" s="106"/>
    </row>
    <row r="150" spans="1:8" ht="18.75" x14ac:dyDescent="0.3">
      <c r="A150" s="106"/>
      <c r="B150" s="106"/>
      <c r="C150" s="106"/>
      <c r="D150" s="106"/>
      <c r="E150" s="106"/>
      <c r="F150" s="109"/>
      <c r="G150" s="106"/>
      <c r="H150" s="106"/>
    </row>
    <row r="151" spans="1:8" ht="18.75" x14ac:dyDescent="0.3">
      <c r="A151" s="106"/>
      <c r="B151" s="106"/>
      <c r="C151" s="106"/>
      <c r="D151" s="106"/>
      <c r="E151" s="106"/>
      <c r="F151" s="109"/>
      <c r="G151" s="106"/>
      <c r="H151" s="106"/>
    </row>
    <row r="250" spans="1:1" x14ac:dyDescent="0.25">
      <c r="A250" s="48">
        <v>5</v>
      </c>
    </row>
  </sheetData>
  <mergeCells count="31">
    <mergeCell ref="A46:B47"/>
    <mergeCell ref="C60:C63"/>
    <mergeCell ref="D60:D63"/>
    <mergeCell ref="A1:H7"/>
    <mergeCell ref="A8:H14"/>
    <mergeCell ref="A16:H16"/>
    <mergeCell ref="B18:C18"/>
    <mergeCell ref="B26:C26"/>
    <mergeCell ref="C29:G29"/>
    <mergeCell ref="C31:H31"/>
    <mergeCell ref="C32:H32"/>
    <mergeCell ref="D36:E36"/>
    <mergeCell ref="F36:G36"/>
    <mergeCell ref="C64:C67"/>
    <mergeCell ref="D64:D67"/>
    <mergeCell ref="A70:B71"/>
    <mergeCell ref="G140:H140"/>
    <mergeCell ref="B80:C80"/>
    <mergeCell ref="C83:G83"/>
    <mergeCell ref="C85:H85"/>
    <mergeCell ref="C86:H86"/>
    <mergeCell ref="F90:G90"/>
    <mergeCell ref="A100:B101"/>
    <mergeCell ref="A118:B119"/>
    <mergeCell ref="C121:D121"/>
    <mergeCell ref="A135:B136"/>
    <mergeCell ref="C138:D138"/>
    <mergeCell ref="B140:C140"/>
    <mergeCell ref="C76:D76"/>
    <mergeCell ref="C68:C71"/>
    <mergeCell ref="D68:D71"/>
  </mergeCells>
  <pageMargins left="0.7" right="0.7" top="0.75" bottom="0.75" header="0.3" footer="0.3"/>
  <pageSetup scale="21" orientation="portrait" r:id="rId1"/>
  <rowBreaks count="1" manualBreakCount="1">
    <brk id="144" max="7" man="1"/>
  </rowBreaks>
  <colBreaks count="1" manualBreakCount="1">
    <brk id="8" max="249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23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47" t="s">
        <v>29</v>
      </c>
      <c r="B11" s="248"/>
      <c r="C11" s="248"/>
      <c r="D11" s="248"/>
      <c r="E11" s="248"/>
      <c r="F11" s="249"/>
      <c r="G11" s="41"/>
    </row>
    <row r="12" spans="1:7" ht="16.5" customHeight="1" x14ac:dyDescent="0.3">
      <c r="A12" s="246" t="s">
        <v>30</v>
      </c>
      <c r="B12" s="246"/>
      <c r="C12" s="246"/>
      <c r="D12" s="246"/>
      <c r="E12" s="246"/>
      <c r="F12" s="246"/>
      <c r="G12" s="40"/>
    </row>
    <row r="14" spans="1:7" ht="16.5" customHeight="1" x14ac:dyDescent="0.3">
      <c r="A14" s="251" t="s">
        <v>31</v>
      </c>
      <c r="B14" s="251"/>
      <c r="C14" s="10" t="s">
        <v>4</v>
      </c>
    </row>
    <row r="15" spans="1:7" ht="16.5" customHeight="1" x14ac:dyDescent="0.3">
      <c r="A15" s="251" t="s">
        <v>32</v>
      </c>
      <c r="B15" s="251"/>
      <c r="C15" s="10" t="s">
        <v>6</v>
      </c>
    </row>
    <row r="16" spans="1:7" ht="16.5" customHeight="1" x14ac:dyDescent="0.3">
      <c r="A16" s="251" t="s">
        <v>33</v>
      </c>
      <c r="B16" s="251"/>
      <c r="C16" s="10" t="s">
        <v>8</v>
      </c>
    </row>
    <row r="17" spans="1:5" ht="16.5" customHeight="1" x14ac:dyDescent="0.3">
      <c r="A17" s="251" t="s">
        <v>34</v>
      </c>
      <c r="B17" s="251"/>
      <c r="C17" s="10" t="s">
        <v>10</v>
      </c>
    </row>
    <row r="18" spans="1:5" ht="16.5" customHeight="1" x14ac:dyDescent="0.3">
      <c r="A18" s="251" t="s">
        <v>35</v>
      </c>
      <c r="B18" s="251"/>
      <c r="C18" s="47" t="s">
        <v>11</v>
      </c>
    </row>
    <row r="19" spans="1:5" ht="16.5" customHeight="1" x14ac:dyDescent="0.3">
      <c r="A19" s="251" t="s">
        <v>36</v>
      </c>
      <c r="B19" s="251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246" t="s">
        <v>1</v>
      </c>
      <c r="B21" s="246"/>
      <c r="C21" s="9" t="s">
        <v>37</v>
      </c>
      <c r="D21" s="16"/>
    </row>
    <row r="22" spans="1:5" ht="15.75" customHeight="1" x14ac:dyDescent="0.3">
      <c r="A22" s="250"/>
      <c r="B22" s="250"/>
      <c r="C22" s="7"/>
      <c r="D22" s="250"/>
      <c r="E22" s="250"/>
    </row>
    <row r="23" spans="1:5" ht="33.75" customHeight="1" x14ac:dyDescent="0.3">
      <c r="C23" s="36" t="s">
        <v>38</v>
      </c>
      <c r="D23" s="35" t="s">
        <v>39</v>
      </c>
      <c r="E23" s="2"/>
    </row>
    <row r="24" spans="1:5" ht="15.75" customHeight="1" x14ac:dyDescent="0.3">
      <c r="C24" s="45">
        <v>1956.06</v>
      </c>
      <c r="D24" s="37">
        <f t="shared" ref="D24:D43" si="0">(C24-$C$46)/$C$46</f>
        <v>2.4260425987249019E-3</v>
      </c>
      <c r="E24" s="3"/>
    </row>
    <row r="25" spans="1:5" ht="15.75" customHeight="1" x14ac:dyDescent="0.3">
      <c r="C25" s="45">
        <v>1943.58</v>
      </c>
      <c r="D25" s="38">
        <f t="shared" si="0"/>
        <v>-3.969608358624109E-3</v>
      </c>
      <c r="E25" s="3"/>
    </row>
    <row r="26" spans="1:5" ht="15.75" customHeight="1" x14ac:dyDescent="0.3">
      <c r="C26" s="45">
        <v>1930.95</v>
      </c>
      <c r="D26" s="38">
        <f t="shared" si="0"/>
        <v>-1.0442130120748879E-2</v>
      </c>
      <c r="E26" s="3"/>
    </row>
    <row r="27" spans="1:5" ht="15.75" customHeight="1" x14ac:dyDescent="0.3">
      <c r="C27" s="45">
        <v>1964.68</v>
      </c>
      <c r="D27" s="38">
        <f t="shared" si="0"/>
        <v>6.8435515131759555E-3</v>
      </c>
      <c r="E27" s="3"/>
    </row>
    <row r="28" spans="1:5" ht="15.75" customHeight="1" x14ac:dyDescent="0.3">
      <c r="C28" s="45">
        <v>1949.9</v>
      </c>
      <c r="D28" s="38">
        <f t="shared" si="0"/>
        <v>-7.3078511740241523E-4</v>
      </c>
      <c r="E28" s="3"/>
    </row>
    <row r="29" spans="1:5" ht="15.75" customHeight="1" x14ac:dyDescent="0.3">
      <c r="C29" s="45">
        <v>1950.01</v>
      </c>
      <c r="D29" s="38">
        <f t="shared" si="0"/>
        <v>-6.7441319390019159E-4</v>
      </c>
      <c r="E29" s="3"/>
    </row>
    <row r="30" spans="1:5" ht="15.75" customHeight="1" x14ac:dyDescent="0.3">
      <c r="C30" s="45">
        <v>1973.03</v>
      </c>
      <c r="D30" s="38">
        <f t="shared" si="0"/>
        <v>1.1122692979030409E-2</v>
      </c>
      <c r="E30" s="3"/>
    </row>
    <row r="31" spans="1:5" ht="15.75" customHeight="1" x14ac:dyDescent="0.3">
      <c r="C31" s="45">
        <v>1929.36</v>
      </c>
      <c r="D31" s="38">
        <f t="shared" si="0"/>
        <v>-1.1256960651372744E-2</v>
      </c>
      <c r="E31" s="3"/>
    </row>
    <row r="32" spans="1:5" ht="15.75" customHeight="1" x14ac:dyDescent="0.3">
      <c r="C32" s="45">
        <v>1955.41</v>
      </c>
      <c r="D32" s="38">
        <f t="shared" si="0"/>
        <v>2.0929357780297112E-3</v>
      </c>
      <c r="E32" s="3"/>
    </row>
    <row r="33" spans="1:7" ht="15.75" customHeight="1" x14ac:dyDescent="0.3">
      <c r="C33" s="45">
        <v>1951.31</v>
      </c>
      <c r="D33" s="38">
        <f t="shared" si="0"/>
        <v>-8.1995525096939925E-6</v>
      </c>
      <c r="E33" s="3"/>
    </row>
    <row r="34" spans="1:7" ht="15.75" customHeight="1" x14ac:dyDescent="0.3">
      <c r="C34" s="45">
        <v>1963.97</v>
      </c>
      <c r="D34" s="38">
        <f t="shared" si="0"/>
        <v>6.4796963705703444E-3</v>
      </c>
      <c r="E34" s="3"/>
    </row>
    <row r="35" spans="1:7" ht="15.75" customHeight="1" x14ac:dyDescent="0.3">
      <c r="C35" s="45">
        <v>1958.61</v>
      </c>
      <c r="D35" s="38">
        <f t="shared" si="0"/>
        <v>3.7328462799139771E-3</v>
      </c>
      <c r="E35" s="3"/>
    </row>
    <row r="36" spans="1:7" ht="15.75" customHeight="1" x14ac:dyDescent="0.3">
      <c r="C36" s="45">
        <v>1954.91</v>
      </c>
      <c r="D36" s="38">
        <f t="shared" si="0"/>
        <v>1.8366997621102801E-3</v>
      </c>
      <c r="E36" s="3"/>
    </row>
    <row r="37" spans="1:7" ht="15.75" customHeight="1" x14ac:dyDescent="0.3">
      <c r="C37" s="45">
        <v>1964.87</v>
      </c>
      <c r="D37" s="38">
        <f t="shared" si="0"/>
        <v>6.9409211992252501E-3</v>
      </c>
      <c r="E37" s="3"/>
    </row>
    <row r="38" spans="1:7" ht="15.75" customHeight="1" x14ac:dyDescent="0.3">
      <c r="C38" s="45">
        <v>1938.81</v>
      </c>
      <c r="D38" s="38">
        <f t="shared" si="0"/>
        <v>-6.4140999504954726E-3</v>
      </c>
      <c r="E38" s="3"/>
    </row>
    <row r="39" spans="1:7" ht="15.75" customHeight="1" x14ac:dyDescent="0.3">
      <c r="C39" s="45">
        <v>1952.86</v>
      </c>
      <c r="D39" s="38">
        <f t="shared" si="0"/>
        <v>7.8613209684051926E-4</v>
      </c>
      <c r="E39" s="3"/>
    </row>
    <row r="40" spans="1:7" ht="15.75" customHeight="1" x14ac:dyDescent="0.3">
      <c r="C40" s="45">
        <v>1941.51</v>
      </c>
      <c r="D40" s="38">
        <f t="shared" si="0"/>
        <v>-5.0304254645305206E-3</v>
      </c>
      <c r="E40" s="3"/>
    </row>
    <row r="41" spans="1:7" ht="15.75" customHeight="1" x14ac:dyDescent="0.3">
      <c r="C41" s="45">
        <v>1944.56</v>
      </c>
      <c r="D41" s="38">
        <f t="shared" si="0"/>
        <v>-3.4673857674220143E-3</v>
      </c>
      <c r="E41" s="3"/>
    </row>
    <row r="42" spans="1:7" ht="15.75" customHeight="1" x14ac:dyDescent="0.3">
      <c r="C42" s="45">
        <v>1949.66</v>
      </c>
      <c r="D42" s="38">
        <f t="shared" si="0"/>
        <v>-8.5377840504374683E-4</v>
      </c>
      <c r="E42" s="3"/>
    </row>
    <row r="43" spans="1:7" ht="16.5" customHeight="1" x14ac:dyDescent="0.3">
      <c r="C43" s="46">
        <v>1952.47</v>
      </c>
      <c r="D43" s="39">
        <f t="shared" si="0"/>
        <v>5.8626800442342824E-4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40</v>
      </c>
      <c r="C45" s="33">
        <f>SUM(C24:C44)</f>
        <v>39026.520000000011</v>
      </c>
      <c r="D45" s="28"/>
      <c r="E45" s="4"/>
    </row>
    <row r="46" spans="1:7" ht="17.25" customHeight="1" x14ac:dyDescent="0.3">
      <c r="B46" s="32" t="s">
        <v>41</v>
      </c>
      <c r="C46" s="34">
        <f>AVERAGE(C24:C44)</f>
        <v>1951.3260000000005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41</v>
      </c>
      <c r="C48" s="35" t="s">
        <v>42</v>
      </c>
      <c r="D48" s="30"/>
      <c r="G48" s="8"/>
    </row>
    <row r="49" spans="1:6" ht="17.25" customHeight="1" x14ac:dyDescent="0.3">
      <c r="B49" s="244">
        <f>C46</f>
        <v>1951.3260000000005</v>
      </c>
      <c r="C49" s="43">
        <f>-IF(C46&lt;=80,10%,IF(C46&lt;250,7.5%,5%))</f>
        <v>-0.05</v>
      </c>
      <c r="D49" s="31">
        <f>IF(C46&lt;=80,C46*0.9,IF(C46&lt;250,C46*0.925,C46*0.95))</f>
        <v>1853.7597000000003</v>
      </c>
    </row>
    <row r="50" spans="1:6" ht="17.25" customHeight="1" x14ac:dyDescent="0.3">
      <c r="B50" s="245"/>
      <c r="C50" s="44">
        <f>IF(C46&lt;=80, 10%, IF(C46&lt;250, 7.5%, 5%))</f>
        <v>0.05</v>
      </c>
      <c r="D50" s="31">
        <f>IF(C46&lt;=80, C46*1.1, IF(C46&lt;250, C46*1.075, C46*1.05))</f>
        <v>2048.8923000000004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24</v>
      </c>
      <c r="C52" s="17"/>
      <c r="D52" s="18" t="s">
        <v>25</v>
      </c>
      <c r="E52" s="19"/>
      <c r="F52" s="18" t="s">
        <v>26</v>
      </c>
    </row>
    <row r="53" spans="1:6" ht="34.5" customHeight="1" x14ac:dyDescent="0.3">
      <c r="A53" s="20" t="s">
        <v>27</v>
      </c>
      <c r="B53" s="21"/>
      <c r="C53" s="22"/>
      <c r="D53" s="21"/>
      <c r="E53" s="11"/>
      <c r="F53" s="23"/>
    </row>
    <row r="54" spans="1:6" ht="34.5" customHeight="1" x14ac:dyDescent="0.3">
      <c r="A54" s="20" t="s">
        <v>28</v>
      </c>
      <c r="B54" s="24"/>
      <c r="C54" s="25"/>
      <c r="D54" s="24"/>
      <c r="E54" s="11"/>
      <c r="F54" s="2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2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tabSelected="1" view="pageBreakPreview" topLeftCell="A107" zoomScale="50" zoomScaleNormal="50" zoomScaleSheetLayoutView="50" workbookViewId="0">
      <selection activeCell="D126" sqref="D126:D131"/>
    </sheetView>
  </sheetViews>
  <sheetFormatPr defaultRowHeight="13.5" x14ac:dyDescent="0.25"/>
  <cols>
    <col min="1" max="1" width="55.42578125" style="48" customWidth="1"/>
    <col min="2" max="2" width="33.7109375" style="48" customWidth="1"/>
    <col min="3" max="3" width="42.28515625" style="48" customWidth="1"/>
    <col min="4" max="4" width="30.5703125" style="48" customWidth="1"/>
    <col min="5" max="5" width="39.85546875" style="48" customWidth="1"/>
    <col min="6" max="6" width="30.7109375" style="48" customWidth="1"/>
    <col min="7" max="7" width="39.85546875" style="48" customWidth="1"/>
    <col min="8" max="8" width="41.140625" style="48" customWidth="1"/>
    <col min="9" max="9" width="30.42578125" style="48" customWidth="1"/>
    <col min="10" max="10" width="21.28515625" style="48" customWidth="1"/>
    <col min="11" max="11" width="9.140625" style="48" customWidth="1"/>
    <col min="12" max="16384" width="9.140625" style="50"/>
  </cols>
  <sheetData>
    <row r="1" spans="1:8" x14ac:dyDescent="0.25">
      <c r="A1" s="238" t="s">
        <v>43</v>
      </c>
      <c r="B1" s="238"/>
      <c r="C1" s="238"/>
      <c r="D1" s="238"/>
      <c r="E1" s="238"/>
      <c r="F1" s="238"/>
      <c r="G1" s="238"/>
      <c r="H1" s="238"/>
    </row>
    <row r="2" spans="1:8" x14ac:dyDescent="0.25">
      <c r="A2" s="238"/>
      <c r="B2" s="238"/>
      <c r="C2" s="238"/>
      <c r="D2" s="238"/>
      <c r="E2" s="238"/>
      <c r="F2" s="238"/>
      <c r="G2" s="238"/>
      <c r="H2" s="238"/>
    </row>
    <row r="3" spans="1:8" x14ac:dyDescent="0.25">
      <c r="A3" s="238"/>
      <c r="B3" s="238"/>
      <c r="C3" s="238"/>
      <c r="D3" s="238"/>
      <c r="E3" s="238"/>
      <c r="F3" s="238"/>
      <c r="G3" s="238"/>
      <c r="H3" s="238"/>
    </row>
    <row r="4" spans="1:8" x14ac:dyDescent="0.25">
      <c r="A4" s="238"/>
      <c r="B4" s="238"/>
      <c r="C4" s="238"/>
      <c r="D4" s="238"/>
      <c r="E4" s="238"/>
      <c r="F4" s="238"/>
      <c r="G4" s="238"/>
      <c r="H4" s="238"/>
    </row>
    <row r="5" spans="1:8" x14ac:dyDescent="0.25">
      <c r="A5" s="238"/>
      <c r="B5" s="238"/>
      <c r="C5" s="238"/>
      <c r="D5" s="238"/>
      <c r="E5" s="238"/>
      <c r="F5" s="238"/>
      <c r="G5" s="238"/>
      <c r="H5" s="238"/>
    </row>
    <row r="6" spans="1:8" x14ac:dyDescent="0.25">
      <c r="A6" s="238"/>
      <c r="B6" s="238"/>
      <c r="C6" s="238"/>
      <c r="D6" s="238"/>
      <c r="E6" s="238"/>
      <c r="F6" s="238"/>
      <c r="G6" s="238"/>
      <c r="H6" s="238"/>
    </row>
    <row r="7" spans="1:8" x14ac:dyDescent="0.25">
      <c r="A7" s="238"/>
      <c r="B7" s="238"/>
      <c r="C7" s="238"/>
      <c r="D7" s="238"/>
      <c r="E7" s="238"/>
      <c r="F7" s="238"/>
      <c r="G7" s="238"/>
      <c r="H7" s="238"/>
    </row>
    <row r="8" spans="1:8" x14ac:dyDescent="0.25">
      <c r="A8" s="239" t="s">
        <v>44</v>
      </c>
      <c r="B8" s="239"/>
      <c r="C8" s="239"/>
      <c r="D8" s="239"/>
      <c r="E8" s="239"/>
      <c r="F8" s="239"/>
      <c r="G8" s="239"/>
      <c r="H8" s="239"/>
    </row>
    <row r="9" spans="1:8" x14ac:dyDescent="0.25">
      <c r="A9" s="239"/>
      <c r="B9" s="239"/>
      <c r="C9" s="239"/>
      <c r="D9" s="239"/>
      <c r="E9" s="239"/>
      <c r="F9" s="239"/>
      <c r="G9" s="239"/>
      <c r="H9" s="239"/>
    </row>
    <row r="10" spans="1:8" x14ac:dyDescent="0.25">
      <c r="A10" s="239"/>
      <c r="B10" s="239"/>
      <c r="C10" s="239"/>
      <c r="D10" s="239"/>
      <c r="E10" s="239"/>
      <c r="F10" s="239"/>
      <c r="G10" s="239"/>
      <c r="H10" s="239"/>
    </row>
    <row r="11" spans="1:8" x14ac:dyDescent="0.25">
      <c r="A11" s="239"/>
      <c r="B11" s="239"/>
      <c r="C11" s="239"/>
      <c r="D11" s="239"/>
      <c r="E11" s="239"/>
      <c r="F11" s="239"/>
      <c r="G11" s="239"/>
      <c r="H11" s="239"/>
    </row>
    <row r="12" spans="1:8" x14ac:dyDescent="0.25">
      <c r="A12" s="239"/>
      <c r="B12" s="239"/>
      <c r="C12" s="239"/>
      <c r="D12" s="239"/>
      <c r="E12" s="239"/>
      <c r="F12" s="239"/>
      <c r="G12" s="239"/>
      <c r="H12" s="239"/>
    </row>
    <row r="13" spans="1:8" x14ac:dyDescent="0.25">
      <c r="A13" s="239"/>
      <c r="B13" s="239"/>
      <c r="C13" s="239"/>
      <c r="D13" s="239"/>
      <c r="E13" s="239"/>
      <c r="F13" s="239"/>
      <c r="G13" s="239"/>
      <c r="H13" s="239"/>
    </row>
    <row r="14" spans="1:8" x14ac:dyDescent="0.25">
      <c r="A14" s="239"/>
      <c r="B14" s="239"/>
      <c r="C14" s="239"/>
      <c r="D14" s="239"/>
      <c r="E14" s="239"/>
      <c r="F14" s="239"/>
      <c r="G14" s="239"/>
      <c r="H14" s="239"/>
    </row>
    <row r="15" spans="1:8" ht="19.5" customHeight="1" thickBot="1" x14ac:dyDescent="0.3"/>
    <row r="16" spans="1:8" ht="19.5" customHeight="1" thickBot="1" x14ac:dyDescent="0.3">
      <c r="A16" s="240" t="s">
        <v>29</v>
      </c>
      <c r="B16" s="241"/>
      <c r="C16" s="241"/>
      <c r="D16" s="241"/>
      <c r="E16" s="241"/>
      <c r="F16" s="241"/>
      <c r="G16" s="241"/>
      <c r="H16" s="242"/>
    </row>
    <row r="17" spans="1:13" ht="18.75" x14ac:dyDescent="0.3">
      <c r="A17" s="49" t="s">
        <v>45</v>
      </c>
      <c r="B17" s="49"/>
    </row>
    <row r="18" spans="1:13" ht="18.75" x14ac:dyDescent="0.3">
      <c r="A18" s="51" t="s">
        <v>31</v>
      </c>
      <c r="B18" s="243" t="s">
        <v>4</v>
      </c>
      <c r="C18" s="243"/>
      <c r="D18" s="52"/>
      <c r="E18" s="52"/>
    </row>
    <row r="19" spans="1:13" ht="18.75" x14ac:dyDescent="0.3">
      <c r="A19" s="51" t="s">
        <v>32</v>
      </c>
      <c r="B19" s="53" t="s">
        <v>6</v>
      </c>
      <c r="C19" s="54">
        <v>35</v>
      </c>
    </row>
    <row r="20" spans="1:13" ht="18.75" x14ac:dyDescent="0.3">
      <c r="A20" s="51" t="s">
        <v>33</v>
      </c>
      <c r="B20" s="53" t="s">
        <v>123</v>
      </c>
    </row>
    <row r="21" spans="1:13" ht="18.75" x14ac:dyDescent="0.3">
      <c r="A21" s="51" t="s">
        <v>34</v>
      </c>
      <c r="B21" s="55" t="s">
        <v>121</v>
      </c>
      <c r="C21" s="55"/>
      <c r="D21" s="55"/>
      <c r="E21" s="55"/>
      <c r="F21" s="55"/>
      <c r="G21" s="55"/>
      <c r="H21" s="55"/>
    </row>
    <row r="22" spans="1:13" ht="18.75" x14ac:dyDescent="0.3">
      <c r="A22" s="51" t="s">
        <v>35</v>
      </c>
      <c r="B22" s="56"/>
    </row>
    <row r="23" spans="1:13" ht="26.25" x14ac:dyDescent="0.4">
      <c r="A23" s="51" t="s">
        <v>36</v>
      </c>
      <c r="B23" s="57"/>
    </row>
    <row r="24" spans="1:13" ht="18.75" x14ac:dyDescent="0.3">
      <c r="A24" s="51"/>
      <c r="B24" s="58"/>
    </row>
    <row r="25" spans="1:13" ht="18.75" x14ac:dyDescent="0.3">
      <c r="A25" s="59" t="s">
        <v>1</v>
      </c>
      <c r="B25" s="58"/>
    </row>
    <row r="26" spans="1:13" ht="26.25" customHeight="1" x14ac:dyDescent="0.4">
      <c r="A26" s="60" t="s">
        <v>3</v>
      </c>
      <c r="B26" s="214" t="s">
        <v>122</v>
      </c>
      <c r="C26" s="214"/>
    </row>
    <row r="27" spans="1:13" ht="26.25" customHeight="1" x14ac:dyDescent="0.4">
      <c r="A27" s="61" t="s">
        <v>46</v>
      </c>
      <c r="B27" s="62" t="s">
        <v>124</v>
      </c>
    </row>
    <row r="28" spans="1:13" ht="27" customHeight="1" thickBot="1" x14ac:dyDescent="0.45">
      <c r="A28" s="61" t="s">
        <v>5</v>
      </c>
      <c r="B28" s="62">
        <v>99.4</v>
      </c>
    </row>
    <row r="29" spans="1:13" s="63" customFormat="1" ht="27" customHeight="1" thickBot="1" x14ac:dyDescent="0.45">
      <c r="A29" s="61" t="s">
        <v>47</v>
      </c>
      <c r="B29" s="62">
        <v>0</v>
      </c>
      <c r="C29" s="215" t="s">
        <v>48</v>
      </c>
      <c r="D29" s="216"/>
      <c r="E29" s="216"/>
      <c r="F29" s="216"/>
      <c r="G29" s="217"/>
      <c r="I29" s="64"/>
      <c r="J29" s="64"/>
      <c r="K29" s="64"/>
    </row>
    <row r="30" spans="1:13" s="63" customFormat="1" ht="19.5" customHeight="1" thickBot="1" x14ac:dyDescent="0.35">
      <c r="A30" s="61" t="s">
        <v>49</v>
      </c>
      <c r="B30" s="65">
        <f>B28-B29</f>
        <v>99.4</v>
      </c>
      <c r="C30" s="66"/>
      <c r="D30" s="66"/>
      <c r="E30" s="66"/>
      <c r="F30" s="66"/>
      <c r="G30" s="67"/>
      <c r="I30" s="64"/>
      <c r="J30" s="64"/>
      <c r="K30" s="64"/>
    </row>
    <row r="31" spans="1:13" s="63" customFormat="1" ht="27" customHeight="1" thickBot="1" x14ac:dyDescent="0.45">
      <c r="A31" s="61" t="s">
        <v>50</v>
      </c>
      <c r="B31" s="68">
        <v>1</v>
      </c>
      <c r="C31" s="218" t="s">
        <v>51</v>
      </c>
      <c r="D31" s="219"/>
      <c r="E31" s="219"/>
      <c r="F31" s="219"/>
      <c r="G31" s="219"/>
      <c r="H31" s="220"/>
      <c r="I31" s="64"/>
      <c r="J31" s="64"/>
      <c r="K31" s="64"/>
    </row>
    <row r="32" spans="1:13" s="63" customFormat="1" ht="27" customHeight="1" thickBot="1" x14ac:dyDescent="0.45">
      <c r="A32" s="61" t="s">
        <v>52</v>
      </c>
      <c r="B32" s="68">
        <v>1</v>
      </c>
      <c r="C32" s="218" t="s">
        <v>53</v>
      </c>
      <c r="D32" s="219"/>
      <c r="E32" s="219"/>
      <c r="F32" s="219"/>
      <c r="G32" s="219"/>
      <c r="H32" s="220"/>
      <c r="I32" s="64"/>
      <c r="J32" s="64"/>
      <c r="K32" s="69"/>
      <c r="L32" s="69"/>
      <c r="M32" s="70"/>
    </row>
    <row r="33" spans="1:13" s="6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9"/>
      <c r="L33" s="69"/>
      <c r="M33" s="70"/>
    </row>
    <row r="34" spans="1:13" s="63" customFormat="1" ht="18.75" x14ac:dyDescent="0.3">
      <c r="A34" s="61" t="s">
        <v>54</v>
      </c>
      <c r="B34" s="73">
        <f>B31/B32</f>
        <v>1</v>
      </c>
      <c r="C34" s="74" t="s">
        <v>55</v>
      </c>
      <c r="D34" s="74"/>
      <c r="E34" s="74"/>
      <c r="F34" s="74"/>
      <c r="G34" s="74"/>
      <c r="I34" s="64"/>
      <c r="J34" s="64"/>
      <c r="K34" s="69"/>
      <c r="L34" s="69"/>
      <c r="M34" s="70"/>
    </row>
    <row r="35" spans="1:13" s="63" customFormat="1" ht="19.5" customHeight="1" thickBot="1" x14ac:dyDescent="0.35">
      <c r="A35" s="61"/>
      <c r="B35" s="65"/>
      <c r="G35" s="74"/>
      <c r="I35" s="64"/>
      <c r="J35" s="64"/>
      <c r="K35" s="69"/>
      <c r="L35" s="69"/>
      <c r="M35" s="70"/>
    </row>
    <row r="36" spans="1:13" s="63" customFormat="1" ht="27" customHeight="1" thickBot="1" x14ac:dyDescent="0.45">
      <c r="A36" s="75" t="s">
        <v>95</v>
      </c>
      <c r="B36" s="76">
        <v>100</v>
      </c>
      <c r="C36" s="74"/>
      <c r="D36" s="221" t="s">
        <v>56</v>
      </c>
      <c r="E36" s="230"/>
      <c r="F36" s="221" t="s">
        <v>57</v>
      </c>
      <c r="G36" s="222"/>
      <c r="I36" s="64"/>
      <c r="J36" s="64"/>
      <c r="K36" s="69"/>
      <c r="L36" s="69"/>
      <c r="M36" s="70"/>
    </row>
    <row r="37" spans="1:13" s="63" customFormat="1" ht="26.25" customHeight="1" x14ac:dyDescent="0.4">
      <c r="A37" s="77" t="s">
        <v>96</v>
      </c>
      <c r="B37" s="78">
        <v>1</v>
      </c>
      <c r="C37" s="79" t="s">
        <v>97</v>
      </c>
      <c r="D37" s="80" t="s">
        <v>59</v>
      </c>
      <c r="E37" s="81" t="s">
        <v>60</v>
      </c>
      <c r="F37" s="80" t="s">
        <v>59</v>
      </c>
      <c r="G37" s="82" t="s">
        <v>60</v>
      </c>
      <c r="I37" s="64"/>
      <c r="J37" s="64"/>
      <c r="K37" s="69"/>
      <c r="L37" s="69"/>
      <c r="M37" s="70"/>
    </row>
    <row r="38" spans="1:13" s="63" customFormat="1" ht="26.25" customHeight="1" x14ac:dyDescent="0.4">
      <c r="A38" s="77" t="s">
        <v>98</v>
      </c>
      <c r="B38" s="78">
        <v>1</v>
      </c>
      <c r="C38" s="83">
        <v>1</v>
      </c>
      <c r="D38" s="84">
        <v>51032565</v>
      </c>
      <c r="E38" s="85">
        <f>IF(ISBLANK(D38),"-",$D$48/$D$45*D38)</f>
        <v>44799833.029591143</v>
      </c>
      <c r="F38" s="84">
        <v>60190762</v>
      </c>
      <c r="G38" s="86">
        <f>IF(ISBLANK(F38),"-",$D$48/$F$45*F38)</f>
        <v>45909087.580829933</v>
      </c>
      <c r="I38" s="64"/>
      <c r="J38" s="64"/>
      <c r="K38" s="69"/>
      <c r="L38" s="69"/>
      <c r="M38" s="70"/>
    </row>
    <row r="39" spans="1:13" s="63" customFormat="1" ht="26.25" customHeight="1" x14ac:dyDescent="0.4">
      <c r="A39" s="77" t="s">
        <v>99</v>
      </c>
      <c r="B39" s="78">
        <v>1</v>
      </c>
      <c r="C39" s="87">
        <v>2</v>
      </c>
      <c r="D39" s="88">
        <v>51005905</v>
      </c>
      <c r="E39" s="89">
        <f>IF(ISBLANK(D39),"-",$D$48/$D$45*D39)</f>
        <v>44776429.080591738</v>
      </c>
      <c r="F39" s="88">
        <v>60086868</v>
      </c>
      <c r="G39" s="90">
        <f>IF(ISBLANK(F39),"-",$D$48/$F$45*F39)</f>
        <v>45829844.876690008</v>
      </c>
      <c r="I39" s="64"/>
      <c r="J39" s="64"/>
      <c r="K39" s="69"/>
      <c r="L39" s="69"/>
      <c r="M39" s="70"/>
    </row>
    <row r="40" spans="1:13" ht="26.25" customHeight="1" x14ac:dyDescent="0.4">
      <c r="A40" s="77" t="s">
        <v>100</v>
      </c>
      <c r="B40" s="78">
        <v>1</v>
      </c>
      <c r="C40" s="87">
        <v>3</v>
      </c>
      <c r="D40" s="88">
        <v>50997201</v>
      </c>
      <c r="E40" s="89">
        <f>IF(ISBLANK(D40),"-",$D$48/$D$45*D40)</f>
        <v>44768788.121398531</v>
      </c>
      <c r="F40" s="88">
        <v>60283726</v>
      </c>
      <c r="G40" s="90">
        <f>IF(ISBLANK(F40),"-",$D$48/$F$45*F40)</f>
        <v>45979993.684624806</v>
      </c>
      <c r="K40" s="69"/>
      <c r="L40" s="69"/>
      <c r="M40" s="74"/>
    </row>
    <row r="41" spans="1:13" ht="26.25" customHeight="1" x14ac:dyDescent="0.4">
      <c r="A41" s="77" t="s">
        <v>101</v>
      </c>
      <c r="B41" s="78">
        <v>1</v>
      </c>
      <c r="C41" s="91">
        <v>4</v>
      </c>
      <c r="D41" s="92"/>
      <c r="E41" s="93" t="str">
        <f>IF(ISBLANK(D41),"-",$D$48/$D$45*D41)</f>
        <v>-</v>
      </c>
      <c r="F41" s="92"/>
      <c r="G41" s="94" t="str">
        <f>IF(ISBLANK(F41),"-",$D$48/$F$45*F41)</f>
        <v>-</v>
      </c>
      <c r="K41" s="69"/>
      <c r="L41" s="69"/>
      <c r="M41" s="74"/>
    </row>
    <row r="42" spans="1:13" ht="27" customHeight="1" thickBot="1" x14ac:dyDescent="0.45">
      <c r="A42" s="77" t="s">
        <v>102</v>
      </c>
      <c r="B42" s="78">
        <v>1</v>
      </c>
      <c r="C42" s="95" t="s">
        <v>61</v>
      </c>
      <c r="D42" s="96">
        <f>AVERAGE(D38:D41)</f>
        <v>51011890.333333336</v>
      </c>
      <c r="E42" s="97">
        <f>AVERAGE(E38:E41)</f>
        <v>44781683.41052714</v>
      </c>
      <c r="F42" s="98">
        <f>AVERAGE(F38:F41)</f>
        <v>60187118.666666664</v>
      </c>
      <c r="G42" s="99">
        <f>AVERAGE(G38:G41)</f>
        <v>45906308.714048244</v>
      </c>
      <c r="H42" s="100"/>
    </row>
    <row r="43" spans="1:13" ht="26.25" customHeight="1" x14ac:dyDescent="0.4">
      <c r="A43" s="77" t="s">
        <v>103</v>
      </c>
      <c r="B43" s="62">
        <v>1</v>
      </c>
      <c r="C43" s="101" t="s">
        <v>83</v>
      </c>
      <c r="D43" s="102">
        <v>11.46</v>
      </c>
      <c r="E43" s="74"/>
      <c r="F43" s="103">
        <v>13.19</v>
      </c>
      <c r="H43" s="100"/>
    </row>
    <row r="44" spans="1:13" ht="26.25" customHeight="1" x14ac:dyDescent="0.4">
      <c r="A44" s="77" t="s">
        <v>104</v>
      </c>
      <c r="B44" s="62">
        <v>1</v>
      </c>
      <c r="C44" s="104" t="s">
        <v>84</v>
      </c>
      <c r="D44" s="105">
        <f>D43*$B$34</f>
        <v>11.46</v>
      </c>
      <c r="E44" s="106"/>
      <c r="F44" s="107">
        <f>F43*$B$34</f>
        <v>13.19</v>
      </c>
      <c r="H44" s="100"/>
    </row>
    <row r="45" spans="1:13" ht="19.5" customHeight="1" thickBot="1" x14ac:dyDescent="0.35">
      <c r="A45" s="77" t="s">
        <v>62</v>
      </c>
      <c r="B45" s="65">
        <f>(B44/B43)*(B42/B41)*(B40/B39)*(B38/B37)*B36</f>
        <v>100</v>
      </c>
      <c r="C45" s="104" t="s">
        <v>63</v>
      </c>
      <c r="D45" s="108">
        <f>D44*$B$30/100</f>
        <v>11.391240000000003</v>
      </c>
      <c r="E45" s="109"/>
      <c r="F45" s="110">
        <f>F44*$B$30/100</f>
        <v>13.110860000000001</v>
      </c>
      <c r="H45" s="100"/>
    </row>
    <row r="46" spans="1:13" ht="19.5" customHeight="1" thickBot="1" x14ac:dyDescent="0.35">
      <c r="A46" s="223" t="s">
        <v>64</v>
      </c>
      <c r="B46" s="224"/>
      <c r="C46" s="104" t="s">
        <v>65</v>
      </c>
      <c r="D46" s="105">
        <f>D45/$B$45</f>
        <v>0.11391240000000004</v>
      </c>
      <c r="E46" s="109"/>
      <c r="F46" s="111">
        <f>F45/$B$45</f>
        <v>0.13110860000000002</v>
      </c>
      <c r="H46" s="100"/>
    </row>
    <row r="47" spans="1:13" ht="27" customHeight="1" thickBot="1" x14ac:dyDescent="0.45">
      <c r="A47" s="225"/>
      <c r="B47" s="226"/>
      <c r="C47" s="104" t="s">
        <v>105</v>
      </c>
      <c r="D47" s="112">
        <v>0.1</v>
      </c>
      <c r="F47" s="113"/>
      <c r="H47" s="100"/>
    </row>
    <row r="48" spans="1:13" ht="18.75" x14ac:dyDescent="0.3">
      <c r="C48" s="104" t="s">
        <v>66</v>
      </c>
      <c r="D48" s="105">
        <f>D47*$B$45</f>
        <v>10</v>
      </c>
      <c r="F48" s="113"/>
      <c r="H48" s="100"/>
    </row>
    <row r="49" spans="1:11" ht="19.5" customHeight="1" thickBot="1" x14ac:dyDescent="0.35">
      <c r="C49" s="114" t="s">
        <v>67</v>
      </c>
      <c r="D49" s="115">
        <f>D48/B34</f>
        <v>10</v>
      </c>
      <c r="F49" s="116"/>
      <c r="H49" s="100"/>
    </row>
    <row r="50" spans="1:11" ht="18.75" x14ac:dyDescent="0.3">
      <c r="C50" s="117" t="s">
        <v>68</v>
      </c>
      <c r="D50" s="118">
        <f>AVERAGE(E38:E41,G38:G41)</f>
        <v>45343996.062287696</v>
      </c>
      <c r="F50" s="116"/>
      <c r="H50" s="100"/>
    </row>
    <row r="51" spans="1:11" ht="18.75" x14ac:dyDescent="0.3">
      <c r="C51" s="119" t="s">
        <v>69</v>
      </c>
      <c r="D51" s="120">
        <f>STDEV(E38:E41,G38:G41)/D50</f>
        <v>1.3626864383436193E-2</v>
      </c>
      <c r="F51" s="116"/>
    </row>
    <row r="52" spans="1:11" ht="19.5" customHeight="1" thickBot="1" x14ac:dyDescent="0.35">
      <c r="C52" s="121" t="s">
        <v>19</v>
      </c>
      <c r="D52" s="122">
        <f>COUNT(E38:E41,G38:G41)</f>
        <v>6</v>
      </c>
      <c r="F52" s="116"/>
    </row>
    <row r="54" spans="1:11" ht="18.75" x14ac:dyDescent="0.3">
      <c r="A54" s="49" t="s">
        <v>1</v>
      </c>
      <c r="B54" s="123" t="s">
        <v>70</v>
      </c>
    </row>
    <row r="55" spans="1:11" ht="18.75" x14ac:dyDescent="0.3">
      <c r="A55" s="74" t="s">
        <v>71</v>
      </c>
      <c r="B55" s="124" t="str">
        <f>B21</f>
        <v>Each film coated tablet contains: Ritonavir 100mg</v>
      </c>
    </row>
    <row r="56" spans="1:11" ht="26.25" customHeight="1" x14ac:dyDescent="0.4">
      <c r="A56" s="124" t="s">
        <v>72</v>
      </c>
      <c r="B56" s="62">
        <v>100</v>
      </c>
      <c r="C56" s="74" t="str">
        <f>B20</f>
        <v>RITONAVIR</v>
      </c>
      <c r="H56" s="106"/>
    </row>
    <row r="57" spans="1:11" ht="18.75" x14ac:dyDescent="0.3">
      <c r="A57" s="124" t="s">
        <v>73</v>
      </c>
      <c r="B57" s="125">
        <f>Uniformity!C46</f>
        <v>1951.3260000000005</v>
      </c>
      <c r="H57" s="106"/>
    </row>
    <row r="58" spans="1:11" ht="19.5" customHeight="1" thickBot="1" x14ac:dyDescent="0.35">
      <c r="H58" s="106"/>
    </row>
    <row r="59" spans="1:11" s="63" customFormat="1" ht="27" customHeight="1" thickBot="1" x14ac:dyDescent="0.45">
      <c r="A59" s="75" t="s">
        <v>106</v>
      </c>
      <c r="B59" s="76">
        <v>100</v>
      </c>
      <c r="C59" s="74"/>
      <c r="D59" s="126" t="s">
        <v>74</v>
      </c>
      <c r="E59" s="127" t="s">
        <v>58</v>
      </c>
      <c r="F59" s="127" t="s">
        <v>59</v>
      </c>
      <c r="G59" s="127" t="s">
        <v>75</v>
      </c>
      <c r="H59" s="79" t="s">
        <v>76</v>
      </c>
      <c r="K59" s="64"/>
    </row>
    <row r="60" spans="1:11" s="63" customFormat="1" ht="22.5" customHeight="1" x14ac:dyDescent="0.4">
      <c r="A60" s="77" t="s">
        <v>107</v>
      </c>
      <c r="B60" s="78">
        <v>5</v>
      </c>
      <c r="C60" s="231" t="s">
        <v>77</v>
      </c>
      <c r="D60" s="234">
        <v>1195.02</v>
      </c>
      <c r="E60" s="128">
        <v>1</v>
      </c>
      <c r="F60" s="129">
        <v>27925688</v>
      </c>
      <c r="G60" s="130">
        <f>IF(ISBLANK(F60),"-",(F60/$D$50*$D$47*$B$68)*($B$57/$D$60))</f>
        <v>100.56312212950176</v>
      </c>
      <c r="H60" s="131">
        <f>IF(ISBLANK(F60),"-",G60/$B$56)</f>
        <v>1.0056312212950176</v>
      </c>
      <c r="K60" s="64"/>
    </row>
    <row r="61" spans="1:11" s="63" customFormat="1" ht="26.25" customHeight="1" x14ac:dyDescent="0.4">
      <c r="A61" s="77" t="s">
        <v>108</v>
      </c>
      <c r="B61" s="78">
        <v>50</v>
      </c>
      <c r="C61" s="232"/>
      <c r="D61" s="235"/>
      <c r="E61" s="132">
        <v>2</v>
      </c>
      <c r="F61" s="88">
        <v>28148341</v>
      </c>
      <c r="G61" s="133">
        <f>IF(ISBLANK(F61),"-",(F61/$D$50*$D$47*$B$68)*($B$57/$D$60))</f>
        <v>101.36491726634853</v>
      </c>
      <c r="H61" s="134">
        <f t="shared" ref="H61:H71" si="0">IF(ISBLANK(F61),"-",G61/$B$56)</f>
        <v>1.0136491726634853</v>
      </c>
      <c r="K61" s="64"/>
    </row>
    <row r="62" spans="1:11" s="63" customFormat="1" ht="26.25" customHeight="1" x14ac:dyDescent="0.4">
      <c r="A62" s="77" t="s">
        <v>109</v>
      </c>
      <c r="B62" s="78">
        <v>1</v>
      </c>
      <c r="C62" s="232"/>
      <c r="D62" s="235"/>
      <c r="E62" s="132">
        <v>3</v>
      </c>
      <c r="F62" s="88">
        <v>28157458</v>
      </c>
      <c r="G62" s="133">
        <f>IF(ISBLANK(F62),"-",(F62/$D$50*$D$47*$B$68)*($B$57/$D$60))</f>
        <v>101.39774847123969</v>
      </c>
      <c r="H62" s="134">
        <f t="shared" si="0"/>
        <v>1.013977484712397</v>
      </c>
      <c r="K62" s="64"/>
    </row>
    <row r="63" spans="1:11" ht="21" customHeight="1" thickBot="1" x14ac:dyDescent="0.45">
      <c r="A63" s="77" t="s">
        <v>110</v>
      </c>
      <c r="B63" s="78">
        <v>1</v>
      </c>
      <c r="C63" s="233"/>
      <c r="D63" s="236"/>
      <c r="E63" s="135">
        <v>4</v>
      </c>
      <c r="F63" s="136"/>
      <c r="G63" s="133" t="str">
        <f>IF(ISBLANK(F63),"-",(F63/$D$50*$D$47*$B$68)*($B$57/$D$60))</f>
        <v>-</v>
      </c>
      <c r="H63" s="134" t="str">
        <f t="shared" si="0"/>
        <v>-</v>
      </c>
    </row>
    <row r="64" spans="1:11" ht="26.25" customHeight="1" x14ac:dyDescent="0.4">
      <c r="A64" s="77" t="s">
        <v>111</v>
      </c>
      <c r="B64" s="78">
        <v>1</v>
      </c>
      <c r="C64" s="231" t="s">
        <v>78</v>
      </c>
      <c r="D64" s="234">
        <v>1197.78</v>
      </c>
      <c r="E64" s="128">
        <v>1</v>
      </c>
      <c r="F64" s="129">
        <v>27581423</v>
      </c>
      <c r="G64" s="137">
        <f>IF(ISBLANK(F64),"-",(F64/$D$50*$D$47*$B$68)*($B$57/$D$64))</f>
        <v>99.094523134942904</v>
      </c>
      <c r="H64" s="138">
        <f t="shared" si="0"/>
        <v>0.99094523134942902</v>
      </c>
    </row>
    <row r="65" spans="1:8" ht="26.25" customHeight="1" x14ac:dyDescent="0.4">
      <c r="A65" s="77" t="s">
        <v>112</v>
      </c>
      <c r="B65" s="78">
        <v>1</v>
      </c>
      <c r="C65" s="232"/>
      <c r="D65" s="235"/>
      <c r="E65" s="132">
        <v>2</v>
      </c>
      <c r="F65" s="88">
        <v>27801243</v>
      </c>
      <c r="G65" s="139">
        <f>IF(ISBLANK(F65),"-",(F65/$D$50*$D$47*$B$68)*($B$57/$D$64))</f>
        <v>99.884292323991744</v>
      </c>
      <c r="H65" s="140">
        <f t="shared" si="0"/>
        <v>0.99884292323991741</v>
      </c>
    </row>
    <row r="66" spans="1:8" ht="26.25" customHeight="1" x14ac:dyDescent="0.4">
      <c r="A66" s="77" t="s">
        <v>113</v>
      </c>
      <c r="B66" s="78">
        <v>1</v>
      </c>
      <c r="C66" s="232"/>
      <c r="D66" s="235"/>
      <c r="E66" s="132">
        <v>3</v>
      </c>
      <c r="F66" s="88">
        <v>27858161</v>
      </c>
      <c r="G66" s="139">
        <f>IF(ISBLANK(F66),"-",(F66/$D$50*$D$47*$B$68)*($B$57/$D$64))</f>
        <v>100.08878728669887</v>
      </c>
      <c r="H66" s="140">
        <f t="shared" si="0"/>
        <v>1.0008878728669888</v>
      </c>
    </row>
    <row r="67" spans="1:8" ht="21" customHeight="1" thickBot="1" x14ac:dyDescent="0.45">
      <c r="A67" s="77" t="s">
        <v>114</v>
      </c>
      <c r="B67" s="78">
        <v>1</v>
      </c>
      <c r="C67" s="233"/>
      <c r="D67" s="236"/>
      <c r="E67" s="135">
        <v>4</v>
      </c>
      <c r="F67" s="136"/>
      <c r="G67" s="141" t="str">
        <f>IF(ISBLANK(F67),"-",(F67/$D$50*$D$47*$B$68)*($B$57/$D$64))</f>
        <v>-</v>
      </c>
      <c r="H67" s="142" t="str">
        <f t="shared" si="0"/>
        <v>-</v>
      </c>
    </row>
    <row r="68" spans="1:8" ht="21.75" customHeight="1" x14ac:dyDescent="0.4">
      <c r="A68" s="77" t="s">
        <v>79</v>
      </c>
      <c r="B68" s="143">
        <f>(B67/B66)*(B65/B64)*(B63/B62)*(B61/B60)*B59</f>
        <v>1000</v>
      </c>
      <c r="C68" s="231" t="s">
        <v>80</v>
      </c>
      <c r="D68" s="234">
        <v>1196.76</v>
      </c>
      <c r="E68" s="128">
        <v>1</v>
      </c>
      <c r="F68" s="129">
        <v>27850704</v>
      </c>
      <c r="G68" s="137">
        <f>IF(ISBLANK(F68),"-",(F68/$D$50*$D$47*$B$68)*($B$57/$D$68))</f>
        <v>100.14727874113372</v>
      </c>
      <c r="H68" s="134">
        <f t="shared" si="0"/>
        <v>1.0014727874113372</v>
      </c>
    </row>
    <row r="69" spans="1:8" ht="21.75" customHeight="1" thickBot="1" x14ac:dyDescent="0.45">
      <c r="A69" s="144" t="s">
        <v>81</v>
      </c>
      <c r="B69" s="145">
        <f>D47*B68/B56*B57</f>
        <v>1951.3260000000005</v>
      </c>
      <c r="C69" s="232"/>
      <c r="D69" s="235"/>
      <c r="E69" s="132">
        <v>2</v>
      </c>
      <c r="F69" s="88">
        <v>27628126</v>
      </c>
      <c r="G69" s="139">
        <f>IF(ISBLANK(F69),"-",(F69/$D$50*$D$47*$B$68)*($B$57/$D$68))</f>
        <v>99.346919044386226</v>
      </c>
      <c r="H69" s="134">
        <f t="shared" si="0"/>
        <v>0.99346919044386228</v>
      </c>
    </row>
    <row r="70" spans="1:8" ht="22.5" customHeight="1" x14ac:dyDescent="0.4">
      <c r="A70" s="209" t="s">
        <v>64</v>
      </c>
      <c r="B70" s="210"/>
      <c r="C70" s="232"/>
      <c r="D70" s="235"/>
      <c r="E70" s="132">
        <v>3</v>
      </c>
      <c r="F70" s="88">
        <v>27858911</v>
      </c>
      <c r="G70" s="139">
        <f>IF(ISBLANK(F70),"-",(F70/$D$50*$D$47*$B$68)*($B$57/$D$68))</f>
        <v>100.17678997778427</v>
      </c>
      <c r="H70" s="134">
        <f t="shared" si="0"/>
        <v>1.0017678997778428</v>
      </c>
    </row>
    <row r="71" spans="1:8" ht="21.75" customHeight="1" thickBot="1" x14ac:dyDescent="0.45">
      <c r="A71" s="211"/>
      <c r="B71" s="212"/>
      <c r="C71" s="237"/>
      <c r="D71" s="236"/>
      <c r="E71" s="135">
        <v>4</v>
      </c>
      <c r="F71" s="136"/>
      <c r="G71" s="141" t="str">
        <f>IF(ISBLANK(F71),"-",(F71/$D$50*$D$47*$B$68)*($B$57/$D$68))</f>
        <v>-</v>
      </c>
      <c r="H71" s="146" t="str">
        <f t="shared" si="0"/>
        <v>-</v>
      </c>
    </row>
    <row r="72" spans="1:8" ht="26.25" customHeight="1" x14ac:dyDescent="0.4">
      <c r="A72" s="106"/>
      <c r="B72" s="106"/>
      <c r="C72" s="106"/>
      <c r="D72" s="106"/>
      <c r="E72" s="106"/>
      <c r="F72" s="106"/>
      <c r="G72" s="147" t="s">
        <v>61</v>
      </c>
      <c r="H72" s="148">
        <f>AVERAGE(H60:H71)</f>
        <v>1.002293753751142</v>
      </c>
    </row>
    <row r="73" spans="1:8" ht="26.25" customHeight="1" x14ac:dyDescent="0.4">
      <c r="C73" s="106"/>
      <c r="D73" s="106"/>
      <c r="E73" s="106"/>
      <c r="F73" s="106"/>
      <c r="G73" s="119" t="s">
        <v>69</v>
      </c>
      <c r="H73" s="149">
        <f>STDEV(H60:H71)/H72</f>
        <v>7.8725294392047711E-3</v>
      </c>
    </row>
    <row r="74" spans="1:8" ht="27" customHeight="1" thickBot="1" x14ac:dyDescent="0.45">
      <c r="A74" s="106"/>
      <c r="B74" s="106"/>
      <c r="C74" s="106"/>
      <c r="D74" s="106"/>
      <c r="E74" s="109"/>
      <c r="F74" s="106"/>
      <c r="G74" s="121" t="s">
        <v>19</v>
      </c>
      <c r="H74" s="150">
        <f>COUNT(H60:H71)</f>
        <v>9</v>
      </c>
    </row>
    <row r="75" spans="1:8" ht="18.75" x14ac:dyDescent="0.3">
      <c r="A75" s="106"/>
      <c r="B75" s="106"/>
      <c r="C75" s="106"/>
      <c r="D75" s="106"/>
      <c r="E75" s="109"/>
      <c r="F75" s="106"/>
      <c r="G75" s="61"/>
      <c r="H75" s="65"/>
    </row>
    <row r="76" spans="1:8" ht="18.75" x14ac:dyDescent="0.3">
      <c r="A76" s="60" t="s">
        <v>115</v>
      </c>
      <c r="B76" s="61" t="s">
        <v>89</v>
      </c>
      <c r="C76" s="229" t="str">
        <f>B20</f>
        <v>RITONAVIR</v>
      </c>
      <c r="D76" s="229"/>
      <c r="E76" s="74" t="s">
        <v>82</v>
      </c>
      <c r="F76" s="74"/>
      <c r="G76" s="151">
        <f>H72</f>
        <v>1.002293753751142</v>
      </c>
      <c r="H76" s="65"/>
    </row>
    <row r="77" spans="1:8" ht="18.75" x14ac:dyDescent="0.3">
      <c r="A77" s="106"/>
      <c r="B77" s="106"/>
      <c r="C77" s="106"/>
      <c r="D77" s="106"/>
      <c r="E77" s="109"/>
      <c r="F77" s="106"/>
      <c r="G77" s="61"/>
      <c r="H77" s="65"/>
    </row>
    <row r="78" spans="1:8" ht="26.25" customHeight="1" x14ac:dyDescent="0.4">
      <c r="A78" s="59" t="s">
        <v>116</v>
      </c>
      <c r="B78" s="59" t="s">
        <v>117</v>
      </c>
      <c r="D78" s="152" t="s">
        <v>118</v>
      </c>
    </row>
    <row r="79" spans="1:8" ht="18.75" x14ac:dyDescent="0.3">
      <c r="A79" s="59"/>
      <c r="B79" s="59"/>
    </row>
    <row r="80" spans="1:8" ht="26.25" customHeight="1" x14ac:dyDescent="0.4">
      <c r="A80" s="60" t="s">
        <v>3</v>
      </c>
      <c r="B80" s="214" t="str">
        <f>B26</f>
        <v>Ritonavir</v>
      </c>
      <c r="C80" s="214"/>
    </row>
    <row r="81" spans="1:11" ht="26.25" customHeight="1" x14ac:dyDescent="0.4">
      <c r="A81" s="61" t="s">
        <v>46</v>
      </c>
      <c r="B81" s="62" t="str">
        <f>B27</f>
        <v>R14-2</v>
      </c>
    </row>
    <row r="82" spans="1:11" ht="27" customHeight="1" thickBot="1" x14ac:dyDescent="0.45">
      <c r="A82" s="61" t="s">
        <v>5</v>
      </c>
      <c r="B82" s="62">
        <f>B28</f>
        <v>99.4</v>
      </c>
    </row>
    <row r="83" spans="1:11" s="63" customFormat="1" ht="27" customHeight="1" thickBot="1" x14ac:dyDescent="0.45">
      <c r="A83" s="61" t="s">
        <v>47</v>
      </c>
      <c r="B83" s="62">
        <f>B29</f>
        <v>0</v>
      </c>
      <c r="C83" s="215" t="s">
        <v>48</v>
      </c>
      <c r="D83" s="216"/>
      <c r="E83" s="216"/>
      <c r="F83" s="216"/>
      <c r="G83" s="217"/>
      <c r="I83" s="64"/>
      <c r="J83" s="64"/>
      <c r="K83" s="64"/>
    </row>
    <row r="84" spans="1:11" s="63" customFormat="1" ht="19.5" customHeight="1" thickBot="1" x14ac:dyDescent="0.35">
      <c r="A84" s="61" t="s">
        <v>49</v>
      </c>
      <c r="B84" s="65">
        <f>B82-B83</f>
        <v>99.4</v>
      </c>
      <c r="C84" s="66"/>
      <c r="D84" s="66"/>
      <c r="E84" s="66"/>
      <c r="F84" s="66"/>
      <c r="G84" s="67"/>
      <c r="I84" s="64"/>
      <c r="J84" s="64"/>
      <c r="K84" s="64"/>
    </row>
    <row r="85" spans="1:11" s="63" customFormat="1" ht="27" customHeight="1" thickBot="1" x14ac:dyDescent="0.45">
      <c r="A85" s="61" t="s">
        <v>50</v>
      </c>
      <c r="B85" s="68">
        <v>1</v>
      </c>
      <c r="C85" s="218" t="s">
        <v>51</v>
      </c>
      <c r="D85" s="219"/>
      <c r="E85" s="219"/>
      <c r="F85" s="219"/>
      <c r="G85" s="219"/>
      <c r="H85" s="220"/>
      <c r="I85" s="64"/>
      <c r="J85" s="64"/>
      <c r="K85" s="64"/>
    </row>
    <row r="86" spans="1:11" s="63" customFormat="1" ht="27" customHeight="1" thickBot="1" x14ac:dyDescent="0.45">
      <c r="A86" s="61" t="s">
        <v>52</v>
      </c>
      <c r="B86" s="68">
        <v>1</v>
      </c>
      <c r="C86" s="218" t="s">
        <v>53</v>
      </c>
      <c r="D86" s="219"/>
      <c r="E86" s="219"/>
      <c r="F86" s="219"/>
      <c r="G86" s="219"/>
      <c r="H86" s="220"/>
      <c r="I86" s="64"/>
      <c r="J86" s="64"/>
      <c r="K86" s="64"/>
    </row>
    <row r="87" spans="1:11" s="63" customFormat="1" ht="18.75" x14ac:dyDescent="0.3">
      <c r="A87" s="61"/>
      <c r="B87" s="65"/>
      <c r="C87" s="66"/>
      <c r="D87" s="66"/>
      <c r="E87" s="66"/>
      <c r="F87" s="66"/>
      <c r="G87" s="67"/>
      <c r="I87" s="64"/>
      <c r="J87" s="64"/>
      <c r="K87" s="64"/>
    </row>
    <row r="88" spans="1:11" s="63" customFormat="1" ht="18.75" x14ac:dyDescent="0.3">
      <c r="A88" s="61" t="s">
        <v>54</v>
      </c>
      <c r="B88" s="73">
        <f>B85/B86</f>
        <v>1</v>
      </c>
      <c r="C88" s="74" t="s">
        <v>55</v>
      </c>
      <c r="D88" s="66"/>
      <c r="E88" s="66"/>
      <c r="F88" s="66"/>
      <c r="G88" s="67"/>
      <c r="I88" s="64"/>
      <c r="J88" s="64"/>
      <c r="K88" s="64"/>
    </row>
    <row r="89" spans="1:11" ht="19.5" customHeight="1" thickBot="1" x14ac:dyDescent="0.35">
      <c r="A89" s="59"/>
      <c r="B89" s="59"/>
    </row>
    <row r="90" spans="1:11" ht="27" customHeight="1" thickBot="1" x14ac:dyDescent="0.45">
      <c r="A90" s="75" t="s">
        <v>95</v>
      </c>
      <c r="B90" s="76">
        <v>100</v>
      </c>
      <c r="D90" s="153" t="s">
        <v>56</v>
      </c>
      <c r="E90" s="154"/>
      <c r="F90" s="221" t="s">
        <v>57</v>
      </c>
      <c r="G90" s="222"/>
    </row>
    <row r="91" spans="1:11" ht="26.25" customHeight="1" x14ac:dyDescent="0.4">
      <c r="A91" s="77" t="s">
        <v>96</v>
      </c>
      <c r="B91" s="78">
        <v>1</v>
      </c>
      <c r="C91" s="155" t="s">
        <v>97</v>
      </c>
      <c r="D91" s="80" t="s">
        <v>59</v>
      </c>
      <c r="E91" s="81" t="s">
        <v>60</v>
      </c>
      <c r="F91" s="80" t="s">
        <v>59</v>
      </c>
      <c r="G91" s="82" t="s">
        <v>60</v>
      </c>
    </row>
    <row r="92" spans="1:11" ht="26.25" customHeight="1" x14ac:dyDescent="0.4">
      <c r="A92" s="77" t="s">
        <v>98</v>
      </c>
      <c r="B92" s="78">
        <v>1</v>
      </c>
      <c r="C92" s="156">
        <v>1</v>
      </c>
      <c r="D92" s="84">
        <v>50696207</v>
      </c>
      <c r="E92" s="85">
        <f>IF(ISBLANK(D92),"-",$D$102/$D$99*D92)</f>
        <v>48955010.78021355</v>
      </c>
      <c r="F92" s="84">
        <v>59212637</v>
      </c>
      <c r="G92" s="86">
        <f>IF(ISBLANK(F92),"-",$D$102/$F$99*F92)</f>
        <v>49679350.324845202</v>
      </c>
    </row>
    <row r="93" spans="1:11" ht="26.25" customHeight="1" x14ac:dyDescent="0.4">
      <c r="A93" s="77" t="s">
        <v>99</v>
      </c>
      <c r="B93" s="78">
        <v>1</v>
      </c>
      <c r="C93" s="106">
        <v>2</v>
      </c>
      <c r="D93" s="88">
        <v>50442749</v>
      </c>
      <c r="E93" s="89">
        <f>IF(ISBLANK(D93),"-",$D$102/$D$99*D93)</f>
        <v>48710257.970159508</v>
      </c>
      <c r="F93" s="88">
        <v>59196158</v>
      </c>
      <c r="G93" s="90">
        <f>IF(ISBLANK(F93),"-",$D$102/$F$99*F93)</f>
        <v>49665524.458349794</v>
      </c>
    </row>
    <row r="94" spans="1:11" ht="26.25" customHeight="1" x14ac:dyDescent="0.4">
      <c r="A94" s="77" t="s">
        <v>100</v>
      </c>
      <c r="B94" s="78">
        <v>1</v>
      </c>
      <c r="C94" s="106">
        <v>3</v>
      </c>
      <c r="D94" s="88">
        <v>50550110</v>
      </c>
      <c r="E94" s="89">
        <f>IF(ISBLANK(D94),"-",$D$102/$D$99*D94)</f>
        <v>48813931.582514264</v>
      </c>
      <c r="F94" s="88">
        <v>59696859</v>
      </c>
      <c r="G94" s="90">
        <f>IF(ISBLANK(F94),"-",$D$102/$F$99*F94)</f>
        <v>50085612.156639606</v>
      </c>
    </row>
    <row r="95" spans="1:11" ht="26.25" customHeight="1" x14ac:dyDescent="0.4">
      <c r="A95" s="77" t="s">
        <v>101</v>
      </c>
      <c r="B95" s="78">
        <v>1</v>
      </c>
      <c r="C95" s="157">
        <v>4</v>
      </c>
      <c r="D95" s="92"/>
      <c r="E95" s="93" t="str">
        <f>IF(ISBLANK(D95),"-",$D$102/$D$99*D95)</f>
        <v>-</v>
      </c>
      <c r="F95" s="158"/>
      <c r="G95" s="94" t="str">
        <f>IF(ISBLANK(F95),"-",$D$102/$F$99*F95)</f>
        <v>-</v>
      </c>
    </row>
    <row r="96" spans="1:11" ht="27" customHeight="1" thickBot="1" x14ac:dyDescent="0.45">
      <c r="A96" s="77" t="s">
        <v>102</v>
      </c>
      <c r="B96" s="78">
        <v>1</v>
      </c>
      <c r="C96" s="61" t="s">
        <v>61</v>
      </c>
      <c r="D96" s="159">
        <f>AVERAGE(D92:D95)</f>
        <v>50563022</v>
      </c>
      <c r="E96" s="97">
        <f>AVERAGE(E92:E95)</f>
        <v>48826400.110962443</v>
      </c>
      <c r="F96" s="160">
        <f>AVERAGE(F92:F95)</f>
        <v>59368551.333333336</v>
      </c>
      <c r="G96" s="161">
        <f>AVERAGE(G92:G95)</f>
        <v>49810162.313278198</v>
      </c>
    </row>
    <row r="97" spans="1:9" ht="26.25" customHeight="1" x14ac:dyDescent="0.4">
      <c r="A97" s="77" t="s">
        <v>103</v>
      </c>
      <c r="B97" s="62">
        <v>1</v>
      </c>
      <c r="C97" s="101" t="s">
        <v>83</v>
      </c>
      <c r="D97" s="102">
        <v>11.46</v>
      </c>
      <c r="E97" s="74"/>
      <c r="F97" s="103">
        <v>13.19</v>
      </c>
    </row>
    <row r="98" spans="1:9" ht="26.25" customHeight="1" x14ac:dyDescent="0.4">
      <c r="A98" s="77" t="s">
        <v>104</v>
      </c>
      <c r="B98" s="62">
        <v>1</v>
      </c>
      <c r="C98" s="104" t="s">
        <v>84</v>
      </c>
      <c r="D98" s="105">
        <f>D97*B88</f>
        <v>11.46</v>
      </c>
      <c r="E98" s="106"/>
      <c r="F98" s="107">
        <f>F97*B88</f>
        <v>13.19</v>
      </c>
    </row>
    <row r="99" spans="1:9" ht="19.5" customHeight="1" thickBot="1" x14ac:dyDescent="0.35">
      <c r="A99" s="77" t="s">
        <v>62</v>
      </c>
      <c r="B99" s="65">
        <f>(B98/B97)*(B96/B95)*(B94/B93)*(B92/B91)*B90</f>
        <v>100</v>
      </c>
      <c r="C99" s="104" t="s">
        <v>63</v>
      </c>
      <c r="D99" s="108">
        <f>D98*$B$84/100</f>
        <v>11.391240000000003</v>
      </c>
      <c r="E99" s="109"/>
      <c r="F99" s="110">
        <f>F98*$B$84/100</f>
        <v>13.110860000000001</v>
      </c>
    </row>
    <row r="100" spans="1:9" ht="19.5" customHeight="1" thickBot="1" x14ac:dyDescent="0.35">
      <c r="A100" s="223" t="s">
        <v>64</v>
      </c>
      <c r="B100" s="224"/>
      <c r="C100" s="104" t="s">
        <v>65</v>
      </c>
      <c r="D100" s="105">
        <f>D99/$B$99</f>
        <v>0.11391240000000004</v>
      </c>
      <c r="E100" s="109"/>
      <c r="F100" s="111">
        <f>F99/$B$99</f>
        <v>0.13110860000000002</v>
      </c>
      <c r="H100" s="100"/>
    </row>
    <row r="101" spans="1:9" ht="19.5" customHeight="1" thickBot="1" x14ac:dyDescent="0.35">
      <c r="A101" s="225"/>
      <c r="B101" s="226"/>
      <c r="C101" s="104" t="s">
        <v>105</v>
      </c>
      <c r="D101" s="108">
        <v>0.11</v>
      </c>
      <c r="F101" s="113"/>
      <c r="G101" s="162"/>
      <c r="H101" s="100"/>
    </row>
    <row r="102" spans="1:9" ht="18.75" x14ac:dyDescent="0.3">
      <c r="C102" s="104" t="s">
        <v>66</v>
      </c>
      <c r="D102" s="105">
        <f>D101*$B$99</f>
        <v>11</v>
      </c>
      <c r="F102" s="113"/>
      <c r="H102" s="100"/>
    </row>
    <row r="103" spans="1:9" ht="19.5" customHeight="1" thickBot="1" x14ac:dyDescent="0.35">
      <c r="C103" s="114" t="s">
        <v>67</v>
      </c>
      <c r="D103" s="115">
        <f>D102/B34</f>
        <v>11</v>
      </c>
      <c r="F103" s="116"/>
      <c r="H103" s="100"/>
      <c r="I103" s="163"/>
    </row>
    <row r="104" spans="1:9" ht="18.75" x14ac:dyDescent="0.3">
      <c r="C104" s="117" t="s">
        <v>85</v>
      </c>
      <c r="D104" s="118">
        <f>AVERAGE(E92:E95,G92:G95)</f>
        <v>49318281.212120317</v>
      </c>
      <c r="F104" s="116"/>
      <c r="G104" s="162"/>
      <c r="H104" s="100"/>
      <c r="I104" s="164"/>
    </row>
    <row r="105" spans="1:9" ht="18.75" x14ac:dyDescent="0.3">
      <c r="C105" s="119" t="s">
        <v>69</v>
      </c>
      <c r="D105" s="165">
        <f>STDEV(E92:E95,G92:G95)/D104</f>
        <v>1.1454930394960233E-2</v>
      </c>
      <c r="F105" s="116"/>
      <c r="H105" s="100"/>
      <c r="I105" s="164"/>
    </row>
    <row r="106" spans="1:9" ht="19.5" customHeight="1" thickBot="1" x14ac:dyDescent="0.35">
      <c r="C106" s="121" t="s">
        <v>19</v>
      </c>
      <c r="D106" s="166">
        <f>COUNT(E92:E95,G92:G95)</f>
        <v>6</v>
      </c>
      <c r="F106" s="116"/>
      <c r="H106" s="100"/>
      <c r="I106" s="164"/>
    </row>
    <row r="107" spans="1:9" ht="19.5" customHeight="1" thickBot="1" x14ac:dyDescent="0.35">
      <c r="A107" s="49"/>
      <c r="B107" s="49"/>
      <c r="C107" s="49"/>
      <c r="D107" s="49"/>
      <c r="E107" s="49"/>
    </row>
    <row r="108" spans="1:9" ht="26.25" customHeight="1" x14ac:dyDescent="0.4">
      <c r="A108" s="75" t="s">
        <v>86</v>
      </c>
      <c r="B108" s="76">
        <v>900</v>
      </c>
      <c r="C108" s="153" t="s">
        <v>119</v>
      </c>
      <c r="D108" s="167" t="s">
        <v>59</v>
      </c>
      <c r="E108" s="168" t="s">
        <v>87</v>
      </c>
      <c r="F108" s="169" t="s">
        <v>88</v>
      </c>
    </row>
    <row r="109" spans="1:9" ht="26.25" customHeight="1" x14ac:dyDescent="0.4">
      <c r="A109" s="77" t="s">
        <v>107</v>
      </c>
      <c r="B109" s="78">
        <v>1</v>
      </c>
      <c r="C109" s="170">
        <v>1</v>
      </c>
      <c r="D109" s="171">
        <v>29022954</v>
      </c>
      <c r="E109" s="172">
        <f t="shared" ref="E109:E114" si="1">IF(ISBLANK(D109),"-",D109/$D$104*$D$101*$B$117)</f>
        <v>58.259784716379635</v>
      </c>
      <c r="F109" s="173">
        <f>IF(ISBLANK(D109), "-", E109/$B$56)</f>
        <v>0.58259784716379637</v>
      </c>
    </row>
    <row r="110" spans="1:9" ht="26.25" customHeight="1" x14ac:dyDescent="0.4">
      <c r="A110" s="77" t="s">
        <v>108</v>
      </c>
      <c r="B110" s="78">
        <v>1</v>
      </c>
      <c r="C110" s="170">
        <v>2</v>
      </c>
      <c r="D110" s="171">
        <v>31507233</v>
      </c>
      <c r="E110" s="174">
        <f t="shared" si="1"/>
        <v>63.246649930562263</v>
      </c>
      <c r="F110" s="175">
        <f t="shared" ref="F110:F114" si="2">IF(ISBLANK(D110), "-", E110/$B$56)</f>
        <v>0.6324664993056226</v>
      </c>
    </row>
    <row r="111" spans="1:9" ht="26.25" customHeight="1" x14ac:dyDescent="0.4">
      <c r="A111" s="77" t="s">
        <v>109</v>
      </c>
      <c r="B111" s="78">
        <v>1</v>
      </c>
      <c r="C111" s="170">
        <v>3</v>
      </c>
      <c r="D111" s="171">
        <v>38426156</v>
      </c>
      <c r="E111" s="174">
        <f t="shared" si="1"/>
        <v>77.135483040010996</v>
      </c>
      <c r="F111" s="175">
        <f t="shared" si="2"/>
        <v>0.77135483040010999</v>
      </c>
    </row>
    <row r="112" spans="1:9" ht="26.25" customHeight="1" x14ac:dyDescent="0.4">
      <c r="A112" s="77" t="s">
        <v>110</v>
      </c>
      <c r="B112" s="78">
        <v>1</v>
      </c>
      <c r="C112" s="170">
        <v>4</v>
      </c>
      <c r="D112" s="171">
        <v>31585090</v>
      </c>
      <c r="E112" s="174">
        <f t="shared" si="1"/>
        <v>63.40293767641554</v>
      </c>
      <c r="F112" s="175">
        <f t="shared" si="2"/>
        <v>0.63402937676415538</v>
      </c>
    </row>
    <row r="113" spans="1:9" ht="26.25" customHeight="1" x14ac:dyDescent="0.4">
      <c r="A113" s="77" t="s">
        <v>111</v>
      </c>
      <c r="B113" s="78">
        <v>1</v>
      </c>
      <c r="C113" s="170">
        <v>5</v>
      </c>
      <c r="D113" s="171">
        <v>33479174</v>
      </c>
      <c r="E113" s="174">
        <f t="shared" si="1"/>
        <v>67.205063610072727</v>
      </c>
      <c r="F113" s="175">
        <f t="shared" si="2"/>
        <v>0.67205063610072724</v>
      </c>
    </row>
    <row r="114" spans="1:9" ht="26.25" customHeight="1" x14ac:dyDescent="0.4">
      <c r="A114" s="77" t="s">
        <v>112</v>
      </c>
      <c r="B114" s="78">
        <v>1</v>
      </c>
      <c r="C114" s="176">
        <v>6</v>
      </c>
      <c r="D114" s="177">
        <v>42090349</v>
      </c>
      <c r="E114" s="178">
        <f t="shared" si="1"/>
        <v>84.490871307492853</v>
      </c>
      <c r="F114" s="179">
        <f t="shared" si="2"/>
        <v>0.84490871307492854</v>
      </c>
    </row>
    <row r="115" spans="1:9" ht="26.25" customHeight="1" x14ac:dyDescent="0.4">
      <c r="A115" s="77" t="s">
        <v>113</v>
      </c>
      <c r="B115" s="78">
        <v>1</v>
      </c>
      <c r="C115" s="170"/>
      <c r="D115" s="106"/>
      <c r="E115" s="74"/>
      <c r="F115" s="180"/>
    </row>
    <row r="116" spans="1:9" ht="26.25" customHeight="1" x14ac:dyDescent="0.4">
      <c r="A116" s="77" t="s">
        <v>114</v>
      </c>
      <c r="B116" s="78">
        <v>1</v>
      </c>
      <c r="C116" s="170"/>
      <c r="D116" s="181"/>
      <c r="E116" s="182" t="s">
        <v>61</v>
      </c>
      <c r="F116" s="183">
        <f>AVERAGE(F109:F114)</f>
        <v>0.68956798380155659</v>
      </c>
    </row>
    <row r="117" spans="1:9" ht="27" customHeight="1" thickBot="1" x14ac:dyDescent="0.45">
      <c r="A117" s="77" t="s">
        <v>79</v>
      </c>
      <c r="B117" s="143">
        <f>(B116/B115)*(B114/B113)*(B112/B111)*(B110/B109)*B108</f>
        <v>900</v>
      </c>
      <c r="C117" s="184"/>
      <c r="D117" s="185"/>
      <c r="E117" s="61" t="s">
        <v>69</v>
      </c>
      <c r="F117" s="186">
        <f>STDEV(F109:F114)/F116</f>
        <v>0.14343539643366743</v>
      </c>
    </row>
    <row r="118" spans="1:9" ht="27" customHeight="1" thickBot="1" x14ac:dyDescent="0.45">
      <c r="A118" s="223" t="s">
        <v>64</v>
      </c>
      <c r="B118" s="227"/>
      <c r="C118" s="187"/>
      <c r="D118" s="188"/>
      <c r="E118" s="189" t="s">
        <v>19</v>
      </c>
      <c r="F118" s="190">
        <f>COUNT(F109:F114)</f>
        <v>6</v>
      </c>
      <c r="I118" s="164"/>
    </row>
    <row r="119" spans="1:9" ht="19.5" customHeight="1" thickBot="1" x14ac:dyDescent="0.35">
      <c r="A119" s="225"/>
      <c r="B119" s="228"/>
      <c r="C119" s="74"/>
      <c r="D119" s="74"/>
      <c r="E119" s="74"/>
      <c r="F119" s="106"/>
      <c r="G119" s="74"/>
      <c r="H119" s="74"/>
    </row>
    <row r="120" spans="1:9" ht="18.75" x14ac:dyDescent="0.3">
      <c r="A120" s="72"/>
      <c r="B120" s="72"/>
      <c r="C120" s="74"/>
      <c r="D120" s="74"/>
      <c r="E120" s="74"/>
      <c r="F120" s="106"/>
      <c r="G120" s="74"/>
      <c r="H120" s="74"/>
    </row>
    <row r="121" spans="1:9" ht="26.25" customHeight="1" x14ac:dyDescent="0.4">
      <c r="A121" s="60" t="s">
        <v>115</v>
      </c>
      <c r="B121" s="61" t="s">
        <v>89</v>
      </c>
      <c r="C121" s="229" t="str">
        <f>B20</f>
        <v>RITONAVIR</v>
      </c>
      <c r="D121" s="229"/>
      <c r="E121" s="74" t="s">
        <v>90</v>
      </c>
      <c r="F121" s="74"/>
      <c r="G121" s="191">
        <f>F116</f>
        <v>0.68956798380155659</v>
      </c>
      <c r="H121" s="74"/>
    </row>
    <row r="122" spans="1:9" ht="18.75" x14ac:dyDescent="0.3">
      <c r="A122" s="72"/>
      <c r="B122" s="72"/>
      <c r="C122" s="74"/>
      <c r="D122" s="74"/>
      <c r="E122" s="74"/>
      <c r="F122" s="106"/>
      <c r="G122" s="74"/>
      <c r="H122" s="74"/>
    </row>
    <row r="123" spans="1:9" ht="26.25" customHeight="1" x14ac:dyDescent="0.4">
      <c r="A123" s="59" t="s">
        <v>116</v>
      </c>
      <c r="B123" s="59" t="s">
        <v>117</v>
      </c>
      <c r="D123" s="152" t="s">
        <v>120</v>
      </c>
    </row>
    <row r="124" spans="1:9" ht="19.5" customHeight="1" thickBot="1" x14ac:dyDescent="0.35">
      <c r="A124" s="49"/>
      <c r="B124" s="49"/>
      <c r="C124" s="49"/>
      <c r="D124" s="49"/>
      <c r="E124" s="49"/>
    </row>
    <row r="125" spans="1:9" ht="26.25" customHeight="1" x14ac:dyDescent="0.4">
      <c r="A125" s="75" t="s">
        <v>86</v>
      </c>
      <c r="B125" s="192">
        <v>900</v>
      </c>
      <c r="C125" s="153" t="s">
        <v>119</v>
      </c>
      <c r="D125" s="167" t="s">
        <v>59</v>
      </c>
      <c r="E125" s="168" t="s">
        <v>87</v>
      </c>
      <c r="F125" s="169" t="s">
        <v>88</v>
      </c>
    </row>
    <row r="126" spans="1:9" ht="26.25" customHeight="1" x14ac:dyDescent="0.4">
      <c r="A126" s="77" t="s">
        <v>107</v>
      </c>
      <c r="B126" s="193">
        <v>1</v>
      </c>
      <c r="C126" s="170">
        <v>1</v>
      </c>
      <c r="D126" s="171" t="s">
        <v>133</v>
      </c>
      <c r="E126" s="194" t="e">
        <f>IF(ISBLANK(D126),"-",D126/$D$104*$D$101*$B$134)</f>
        <v>#VALUE!</v>
      </c>
      <c r="F126" s="195" t="e">
        <f>IF(ISBLANK(D126), "-", E126/$B$56)</f>
        <v>#VALUE!</v>
      </c>
    </row>
    <row r="127" spans="1:9" ht="26.25" customHeight="1" x14ac:dyDescent="0.4">
      <c r="A127" s="77" t="s">
        <v>108</v>
      </c>
      <c r="B127" s="193">
        <v>1</v>
      </c>
      <c r="C127" s="170">
        <v>2</v>
      </c>
      <c r="D127" s="171">
        <v>46984275</v>
      </c>
      <c r="E127" s="196">
        <f t="shared" ref="E127:E131" si="3">IF(ISBLANK(D127),"-",D127/$D$104*$D$101*$B$134)</f>
        <v>94.314787755759724</v>
      </c>
      <c r="F127" s="197">
        <f t="shared" ref="F127:F131" si="4">IF(ISBLANK(D127), "-", E127/$B$56)</f>
        <v>0.94314787755759721</v>
      </c>
    </row>
    <row r="128" spans="1:9" ht="26.25" customHeight="1" x14ac:dyDescent="0.4">
      <c r="A128" s="77" t="s">
        <v>109</v>
      </c>
      <c r="B128" s="193">
        <v>1</v>
      </c>
      <c r="C128" s="170">
        <v>3</v>
      </c>
      <c r="D128" s="171">
        <v>48062062</v>
      </c>
      <c r="E128" s="196">
        <f t="shared" si="3"/>
        <v>96.478304212082961</v>
      </c>
      <c r="F128" s="197">
        <f t="shared" si="4"/>
        <v>0.96478304212082966</v>
      </c>
    </row>
    <row r="129" spans="1:9" ht="26.25" customHeight="1" x14ac:dyDescent="0.4">
      <c r="A129" s="77" t="s">
        <v>110</v>
      </c>
      <c r="B129" s="193">
        <v>1</v>
      </c>
      <c r="C129" s="170">
        <v>4</v>
      </c>
      <c r="D129" s="171">
        <v>51370406</v>
      </c>
      <c r="E129" s="196">
        <f t="shared" si="3"/>
        <v>103.11937214774954</v>
      </c>
      <c r="F129" s="197">
        <f t="shared" si="4"/>
        <v>1.0311937214774956</v>
      </c>
    </row>
    <row r="130" spans="1:9" ht="26.25" customHeight="1" x14ac:dyDescent="0.4">
      <c r="A130" s="77" t="s">
        <v>111</v>
      </c>
      <c r="B130" s="193">
        <v>1</v>
      </c>
      <c r="C130" s="170">
        <v>5</v>
      </c>
      <c r="D130" s="171">
        <v>52205254</v>
      </c>
      <c r="E130" s="196">
        <f t="shared" si="3"/>
        <v>104.79522033160087</v>
      </c>
      <c r="F130" s="197">
        <f t="shared" si="4"/>
        <v>1.0479522033160087</v>
      </c>
    </row>
    <row r="131" spans="1:9" ht="26.25" customHeight="1" x14ac:dyDescent="0.4">
      <c r="A131" s="77" t="s">
        <v>112</v>
      </c>
      <c r="B131" s="193">
        <v>1</v>
      </c>
      <c r="C131" s="176">
        <v>6</v>
      </c>
      <c r="D131" s="177">
        <v>45515930</v>
      </c>
      <c r="E131" s="198">
        <f t="shared" si="3"/>
        <v>91.367277189145028</v>
      </c>
      <c r="F131" s="199">
        <f t="shared" si="4"/>
        <v>0.91367277189145024</v>
      </c>
    </row>
    <row r="132" spans="1:9" ht="26.25" customHeight="1" x14ac:dyDescent="0.4">
      <c r="A132" s="77" t="s">
        <v>113</v>
      </c>
      <c r="B132" s="193">
        <v>1</v>
      </c>
      <c r="C132" s="170"/>
      <c r="D132" s="106"/>
      <c r="E132" s="74"/>
      <c r="F132" s="180"/>
    </row>
    <row r="133" spans="1:9" ht="26.25" customHeight="1" x14ac:dyDescent="0.4">
      <c r="A133" s="77" t="s">
        <v>114</v>
      </c>
      <c r="B133" s="193">
        <v>1</v>
      </c>
      <c r="C133" s="170"/>
      <c r="D133" s="181"/>
      <c r="E133" s="182" t="s">
        <v>61</v>
      </c>
      <c r="F133" s="183" t="e">
        <f>AVERAGE(F126:F131)</f>
        <v>#VALUE!</v>
      </c>
    </row>
    <row r="134" spans="1:9" ht="27" customHeight="1" thickBot="1" x14ac:dyDescent="0.45">
      <c r="A134" s="77" t="s">
        <v>79</v>
      </c>
      <c r="B134" s="200">
        <f>(B133/B132)*(B131/B130)*(B129/B128)*(B127/B126)*B125</f>
        <v>900</v>
      </c>
      <c r="C134" s="184"/>
      <c r="D134" s="185"/>
      <c r="E134" s="61" t="s">
        <v>69</v>
      </c>
      <c r="F134" s="186" t="e">
        <f>STDEV(F126:F131)/F133</f>
        <v>#VALUE!</v>
      </c>
    </row>
    <row r="135" spans="1:9" ht="27" customHeight="1" thickBot="1" x14ac:dyDescent="0.45">
      <c r="A135" s="223" t="s">
        <v>64</v>
      </c>
      <c r="B135" s="227"/>
      <c r="C135" s="187"/>
      <c r="D135" s="188"/>
      <c r="E135" s="189" t="s">
        <v>19</v>
      </c>
      <c r="F135" s="190">
        <f>COUNT(F126:F131)</f>
        <v>5</v>
      </c>
      <c r="I135" s="164"/>
    </row>
    <row r="136" spans="1:9" ht="19.5" customHeight="1" thickBot="1" x14ac:dyDescent="0.35">
      <c r="A136" s="225"/>
      <c r="B136" s="228"/>
      <c r="C136" s="74"/>
      <c r="D136" s="74"/>
      <c r="E136" s="74"/>
      <c r="F136" s="106"/>
      <c r="G136" s="74"/>
      <c r="H136" s="74"/>
    </row>
    <row r="137" spans="1:9" ht="18.75" x14ac:dyDescent="0.3">
      <c r="A137" s="72"/>
      <c r="B137" s="72"/>
      <c r="C137" s="74"/>
      <c r="D137" s="74"/>
      <c r="E137" s="74"/>
      <c r="F137" s="106"/>
      <c r="G137" s="74"/>
      <c r="H137" s="74"/>
    </row>
    <row r="138" spans="1:9" ht="26.25" customHeight="1" x14ac:dyDescent="0.4">
      <c r="A138" s="60" t="s">
        <v>115</v>
      </c>
      <c r="B138" s="61" t="s">
        <v>89</v>
      </c>
      <c r="C138" s="229" t="str">
        <f>B20</f>
        <v>RITONAVIR</v>
      </c>
      <c r="D138" s="229"/>
      <c r="E138" s="74" t="s">
        <v>90</v>
      </c>
      <c r="F138" s="74"/>
      <c r="G138" s="191" t="e">
        <f>F133</f>
        <v>#VALUE!</v>
      </c>
      <c r="H138" s="74"/>
    </row>
    <row r="139" spans="1:9" ht="19.5" customHeight="1" thickBot="1" x14ac:dyDescent="0.35">
      <c r="A139" s="201"/>
      <c r="B139" s="201"/>
      <c r="C139" s="202"/>
      <c r="D139" s="202"/>
      <c r="E139" s="202"/>
      <c r="F139" s="202"/>
      <c r="G139" s="202"/>
      <c r="H139" s="202"/>
    </row>
    <row r="140" spans="1:9" ht="18.75" x14ac:dyDescent="0.3">
      <c r="B140" s="213" t="s">
        <v>24</v>
      </c>
      <c r="C140" s="213"/>
      <c r="E140" s="155" t="s">
        <v>25</v>
      </c>
      <c r="F140" s="203"/>
      <c r="G140" s="213" t="s">
        <v>26</v>
      </c>
      <c r="H140" s="213"/>
    </row>
    <row r="141" spans="1:9" ht="83.1" customHeight="1" x14ac:dyDescent="0.3">
      <c r="A141" s="60" t="s">
        <v>27</v>
      </c>
      <c r="B141" s="204"/>
      <c r="C141" s="204"/>
      <c r="E141" s="205"/>
      <c r="F141" s="74"/>
      <c r="G141" s="205"/>
      <c r="H141" s="205"/>
    </row>
    <row r="142" spans="1:9" ht="83.1" customHeight="1" x14ac:dyDescent="0.3">
      <c r="A142" s="60" t="s">
        <v>28</v>
      </c>
      <c r="B142" s="206"/>
      <c r="C142" s="206"/>
      <c r="E142" s="207"/>
      <c r="F142" s="74"/>
      <c r="G142" s="208"/>
      <c r="H142" s="208"/>
    </row>
    <row r="143" spans="1:9" ht="18.75" x14ac:dyDescent="0.3">
      <c r="A143" s="106"/>
      <c r="B143" s="106"/>
      <c r="C143" s="106"/>
      <c r="D143" s="106"/>
      <c r="E143" s="106"/>
      <c r="F143" s="109"/>
      <c r="G143" s="106"/>
      <c r="H143" s="106"/>
    </row>
    <row r="144" spans="1:9" ht="18.75" x14ac:dyDescent="0.3">
      <c r="A144" s="106"/>
      <c r="B144" s="106"/>
      <c r="C144" s="106"/>
      <c r="D144" s="106"/>
      <c r="E144" s="106"/>
      <c r="F144" s="109"/>
      <c r="G144" s="106"/>
      <c r="H144" s="106"/>
    </row>
    <row r="145" spans="1:8" ht="18.75" x14ac:dyDescent="0.3">
      <c r="A145" s="106"/>
      <c r="B145" s="106"/>
      <c r="C145" s="106"/>
      <c r="D145" s="106"/>
      <c r="E145" s="106"/>
      <c r="F145" s="109"/>
      <c r="G145" s="106"/>
      <c r="H145" s="106"/>
    </row>
    <row r="146" spans="1:8" ht="18.75" x14ac:dyDescent="0.3">
      <c r="A146" s="106"/>
      <c r="B146" s="106"/>
      <c r="C146" s="106"/>
      <c r="D146" s="106"/>
      <c r="E146" s="106"/>
      <c r="F146" s="109"/>
      <c r="G146" s="106"/>
      <c r="H146" s="106"/>
    </row>
    <row r="147" spans="1:8" ht="18.75" x14ac:dyDescent="0.3">
      <c r="A147" s="106"/>
      <c r="B147" s="106"/>
      <c r="C147" s="106"/>
      <c r="D147" s="106"/>
      <c r="E147" s="106"/>
      <c r="F147" s="109"/>
      <c r="G147" s="106"/>
      <c r="H147" s="106"/>
    </row>
    <row r="148" spans="1:8" ht="18.75" x14ac:dyDescent="0.3">
      <c r="A148" s="106"/>
      <c r="B148" s="106"/>
      <c r="C148" s="106"/>
      <c r="D148" s="106"/>
      <c r="E148" s="106"/>
      <c r="F148" s="109"/>
      <c r="G148" s="106"/>
      <c r="H148" s="106"/>
    </row>
    <row r="149" spans="1:8" ht="18.75" x14ac:dyDescent="0.3">
      <c r="A149" s="106"/>
      <c r="B149" s="106"/>
      <c r="C149" s="106"/>
      <c r="D149" s="106"/>
      <c r="E149" s="106"/>
      <c r="F149" s="109"/>
      <c r="G149" s="106"/>
      <c r="H149" s="106"/>
    </row>
    <row r="150" spans="1:8" ht="18.75" x14ac:dyDescent="0.3">
      <c r="A150" s="106"/>
      <c r="B150" s="106"/>
      <c r="C150" s="106"/>
      <c r="D150" s="106"/>
      <c r="E150" s="106"/>
      <c r="F150" s="109"/>
      <c r="G150" s="106"/>
      <c r="H150" s="106"/>
    </row>
    <row r="151" spans="1:8" ht="18.75" x14ac:dyDescent="0.3">
      <c r="A151" s="106"/>
      <c r="B151" s="106"/>
      <c r="C151" s="106"/>
      <c r="D151" s="106"/>
      <c r="E151" s="106"/>
      <c r="F151" s="109"/>
      <c r="G151" s="106"/>
      <c r="H151" s="106"/>
    </row>
    <row r="250" spans="1:1" x14ac:dyDescent="0.25">
      <c r="A250" s="48">
        <v>5</v>
      </c>
    </row>
  </sheetData>
  <mergeCells count="31">
    <mergeCell ref="A46:B47"/>
    <mergeCell ref="C60:C63"/>
    <mergeCell ref="D60:D63"/>
    <mergeCell ref="A1:H7"/>
    <mergeCell ref="A8:H14"/>
    <mergeCell ref="A16:H16"/>
    <mergeCell ref="B18:C18"/>
    <mergeCell ref="B26:C26"/>
    <mergeCell ref="C29:G29"/>
    <mergeCell ref="C31:H31"/>
    <mergeCell ref="C32:H32"/>
    <mergeCell ref="D36:E36"/>
    <mergeCell ref="F36:G36"/>
    <mergeCell ref="C64:C67"/>
    <mergeCell ref="D64:D67"/>
    <mergeCell ref="A70:B71"/>
    <mergeCell ref="G140:H140"/>
    <mergeCell ref="B80:C80"/>
    <mergeCell ref="C83:G83"/>
    <mergeCell ref="C85:H85"/>
    <mergeCell ref="C86:H86"/>
    <mergeCell ref="F90:G90"/>
    <mergeCell ref="A100:B101"/>
    <mergeCell ref="A118:B119"/>
    <mergeCell ref="C121:D121"/>
    <mergeCell ref="A135:B136"/>
    <mergeCell ref="C138:D138"/>
    <mergeCell ref="B140:C140"/>
    <mergeCell ref="C76:D76"/>
    <mergeCell ref="C68:C71"/>
    <mergeCell ref="D68:D71"/>
  </mergeCells>
  <pageMargins left="0.7" right="0.7" top="0.75" bottom="0.75" header="0.3" footer="0.3"/>
  <pageSetup scale="2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</vt:lpstr>
      <vt:lpstr>SST 2</vt:lpstr>
      <vt:lpstr>ATAZANAVIR </vt:lpstr>
      <vt:lpstr>Uniformity</vt:lpstr>
      <vt:lpstr>RITONAVIR</vt:lpstr>
      <vt:lpstr>'ATAZANAVIR '!Print_Area</vt:lpstr>
      <vt:lpstr>RITONAVIR!Print_Area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2016-05-24T05:38:24Z</cp:lastPrinted>
  <dcterms:created xsi:type="dcterms:W3CDTF">2005-07-05T10:19:27Z</dcterms:created>
  <dcterms:modified xsi:type="dcterms:W3CDTF">2016-06-06T12:20:58Z</dcterms:modified>
</cp:coreProperties>
</file>