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28" windowWidth="15012" windowHeight="9912" activeTab="4"/>
  </bookViews>
  <sheets>
    <sheet name="SST 3TC" sheetId="10" r:id="rId1"/>
    <sheet name="SST TDF" sheetId="12" r:id="rId2"/>
    <sheet name="SST EFV" sheetId="11" r:id="rId3"/>
    <sheet name="Uniformity " sheetId="14" r:id="rId4"/>
    <sheet name="3TC" sheetId="5" r:id="rId5"/>
    <sheet name="TDF" sheetId="4" r:id="rId6"/>
    <sheet name="EFV" sheetId="3" r:id="rId7"/>
  </sheets>
  <definedNames>
    <definedName name="_xlnm.Print_Area" localSheetId="4">'3TC'!$A$1:$H$125</definedName>
    <definedName name="_xlnm.Print_Area" localSheetId="6">EFV!$A$1:$I$125</definedName>
    <definedName name="_xlnm.Print_Area" localSheetId="0">'SST 3TC'!$A$1:$E$62</definedName>
    <definedName name="_xlnm.Print_Area" localSheetId="2">'SST EFV'!$A$1:$E$63</definedName>
    <definedName name="_xlnm.Print_Area" localSheetId="1">'SST TDF'!$A$1:$E$62</definedName>
    <definedName name="_xlnm.Print_Area" localSheetId="5">TDF!$A$1:$H$125</definedName>
  </definedNames>
  <calcPr calcId="145621"/>
</workbook>
</file>

<file path=xl/calcChain.xml><?xml version="1.0" encoding="utf-8"?>
<calcChain xmlns="http://schemas.openxmlformats.org/spreadsheetml/2006/main">
  <c r="H72" i="4" l="1"/>
  <c r="H72" i="5"/>
  <c r="F96" i="3" l="1"/>
  <c r="D96" i="3"/>
  <c r="F96" i="4"/>
  <c r="B21" i="12"/>
  <c r="B40" i="10" l="1"/>
  <c r="B39" i="10"/>
  <c r="B39" i="11"/>
  <c r="B39" i="12"/>
  <c r="C120" i="4" l="1"/>
  <c r="C76" i="3"/>
  <c r="C76" i="5"/>
  <c r="C120" i="5"/>
  <c r="C76" i="4"/>
  <c r="C120" i="3"/>
  <c r="A102" i="3"/>
  <c r="B98" i="3"/>
  <c r="D100" i="3"/>
  <c r="D49" i="5"/>
  <c r="D48" i="5"/>
  <c r="D42" i="5"/>
  <c r="B45" i="5"/>
  <c r="B51" i="12"/>
  <c r="B51" i="11"/>
  <c r="B42" i="11"/>
  <c r="B30" i="11"/>
  <c r="B31" i="11" s="1"/>
  <c r="B21" i="11"/>
  <c r="B51" i="10"/>
  <c r="B52" i="10" s="1"/>
  <c r="B42" i="10"/>
  <c r="B30" i="10"/>
  <c r="B21" i="10"/>
  <c r="C44" i="14"/>
  <c r="C43" i="14"/>
  <c r="D47" i="14" l="1"/>
  <c r="B57" i="5"/>
  <c r="D27" i="14"/>
  <c r="C48" i="14"/>
  <c r="D21" i="14"/>
  <c r="D39" i="14"/>
  <c r="D26" i="14"/>
  <c r="D25" i="14"/>
  <c r="D40" i="14"/>
  <c r="D32" i="14"/>
  <c r="D31" i="14"/>
  <c r="D23" i="14"/>
  <c r="D38" i="14"/>
  <c r="D30" i="14"/>
  <c r="D22" i="14"/>
  <c r="D37" i="14"/>
  <c r="D29" i="14"/>
  <c r="B57" i="3"/>
  <c r="D36" i="14"/>
  <c r="D28" i="14"/>
  <c r="B57" i="4"/>
  <c r="D35" i="14"/>
  <c r="D34" i="14"/>
  <c r="D33" i="14"/>
  <c r="D24" i="14"/>
  <c r="B47" i="14"/>
  <c r="C47" i="14"/>
  <c r="D48" i="14"/>
  <c r="B53" i="12" l="1"/>
  <c r="E51" i="12"/>
  <c r="D51" i="12"/>
  <c r="C51" i="12"/>
  <c r="B52" i="12"/>
  <c r="B42" i="12"/>
  <c r="B32" i="12"/>
  <c r="E30" i="12"/>
  <c r="D30" i="12"/>
  <c r="C30" i="12"/>
  <c r="B30" i="12"/>
  <c r="B31" i="12" s="1"/>
  <c r="B53" i="11"/>
  <c r="E51" i="11"/>
  <c r="D51" i="11"/>
  <c r="C51" i="11"/>
  <c r="B52" i="11"/>
  <c r="B32" i="11"/>
  <c r="E30" i="11"/>
  <c r="D30" i="11"/>
  <c r="C30" i="11"/>
  <c r="C30" i="10"/>
  <c r="D30" i="10"/>
  <c r="E30" i="10"/>
  <c r="B31" i="10"/>
  <c r="B32" i="10"/>
  <c r="C51" i="10"/>
  <c r="D51" i="10"/>
  <c r="E51" i="10"/>
  <c r="B53" i="10"/>
  <c r="B116" i="5" l="1"/>
  <c r="D100" i="5" s="1"/>
  <c r="B98" i="5"/>
  <c r="F95" i="5"/>
  <c r="D95" i="5"/>
  <c r="B87" i="5"/>
  <c r="D97" i="5" s="1"/>
  <c r="B83" i="5"/>
  <c r="B81" i="5"/>
  <c r="B80" i="5"/>
  <c r="B79" i="5"/>
  <c r="B68" i="5"/>
  <c r="C56" i="5"/>
  <c r="B55" i="5"/>
  <c r="F42" i="5"/>
  <c r="B34" i="5"/>
  <c r="B30" i="5"/>
  <c r="B116" i="4"/>
  <c r="D100" i="4" s="1"/>
  <c r="B98" i="4"/>
  <c r="F95" i="4"/>
  <c r="D95" i="4"/>
  <c r="B87" i="4"/>
  <c r="D97" i="4" s="1"/>
  <c r="B81" i="4"/>
  <c r="B83" i="4" s="1"/>
  <c r="B80" i="4"/>
  <c r="B79" i="4"/>
  <c r="B68" i="4"/>
  <c r="C56" i="4"/>
  <c r="B55" i="4"/>
  <c r="B45" i="4"/>
  <c r="D48" i="4" s="1"/>
  <c r="F42" i="4"/>
  <c r="D42" i="4"/>
  <c r="B34" i="4"/>
  <c r="F44" i="4" s="1"/>
  <c r="F45" i="4" s="1"/>
  <c r="F46" i="4" s="1"/>
  <c r="B30" i="4"/>
  <c r="B116" i="3"/>
  <c r="F95" i="3"/>
  <c r="D95" i="3"/>
  <c r="B87" i="3"/>
  <c r="D97" i="3" s="1"/>
  <c r="D98" i="3" s="1"/>
  <c r="D99" i="3" s="1"/>
  <c r="B81" i="3"/>
  <c r="B83" i="3" s="1"/>
  <c r="B80" i="3"/>
  <c r="B79" i="3"/>
  <c r="B68" i="3"/>
  <c r="C56" i="3"/>
  <c r="B55" i="3"/>
  <c r="B45" i="3"/>
  <c r="D48" i="3" s="1"/>
  <c r="F42" i="3"/>
  <c r="D42" i="3"/>
  <c r="B34" i="3"/>
  <c r="F44" i="3" s="1"/>
  <c r="B30" i="3"/>
  <c r="D101" i="5" l="1"/>
  <c r="D102" i="5" s="1"/>
  <c r="D101" i="4"/>
  <c r="E93" i="4" s="1"/>
  <c r="I92" i="5"/>
  <c r="I39" i="5"/>
  <c r="F44" i="5"/>
  <c r="F45" i="5" s="1"/>
  <c r="G40" i="5" s="1"/>
  <c r="D44" i="5"/>
  <c r="D45" i="5" s="1"/>
  <c r="D98" i="5"/>
  <c r="D99" i="5" s="1"/>
  <c r="I39" i="4"/>
  <c r="D44" i="4"/>
  <c r="D45" i="4" s="1"/>
  <c r="G41" i="4"/>
  <c r="D49" i="4"/>
  <c r="F97" i="3"/>
  <c r="F98" i="3" s="1"/>
  <c r="I92" i="3"/>
  <c r="D101" i="3"/>
  <c r="D102" i="3" s="1"/>
  <c r="I39" i="3"/>
  <c r="F45" i="3"/>
  <c r="G38" i="3" s="1"/>
  <c r="D44" i="3"/>
  <c r="D45" i="3" s="1"/>
  <c r="D49" i="3"/>
  <c r="G41" i="3"/>
  <c r="B69" i="3"/>
  <c r="G40" i="4"/>
  <c r="E94" i="5"/>
  <c r="D98" i="4"/>
  <c r="F97" i="4"/>
  <c r="F98" i="4" s="1"/>
  <c r="G91" i="4" s="1"/>
  <c r="B69" i="4"/>
  <c r="I92" i="4"/>
  <c r="D102" i="4"/>
  <c r="G39" i="4"/>
  <c r="F97" i="5"/>
  <c r="F98" i="5" s="1"/>
  <c r="G94" i="5" s="1"/>
  <c r="E41" i="4" l="1"/>
  <c r="D46" i="4"/>
  <c r="D46" i="5"/>
  <c r="E38" i="5"/>
  <c r="E91" i="5"/>
  <c r="E92" i="5"/>
  <c r="E91" i="4"/>
  <c r="E41" i="5"/>
  <c r="F46" i="5"/>
  <c r="E39" i="5"/>
  <c r="G41" i="5"/>
  <c r="G38" i="5"/>
  <c r="G39" i="5"/>
  <c r="E40" i="5"/>
  <c r="E93" i="5"/>
  <c r="G38" i="4"/>
  <c r="G42" i="4" s="1"/>
  <c r="G91" i="3"/>
  <c r="E91" i="3"/>
  <c r="G93" i="3"/>
  <c r="E93" i="3"/>
  <c r="E94" i="3"/>
  <c r="E92" i="3"/>
  <c r="D46" i="3"/>
  <c r="E39" i="3"/>
  <c r="E40" i="3"/>
  <c r="E41" i="3"/>
  <c r="E38" i="3"/>
  <c r="F46" i="3"/>
  <c r="G40" i="3"/>
  <c r="G39" i="3"/>
  <c r="E92" i="4"/>
  <c r="D99" i="4"/>
  <c r="F99" i="5"/>
  <c r="G92" i="5"/>
  <c r="B69" i="5"/>
  <c r="G53" i="5" s="1"/>
  <c r="G93" i="5"/>
  <c r="G91" i="5"/>
  <c r="F99" i="4"/>
  <c r="G93" i="4"/>
  <c r="G92" i="4"/>
  <c r="E38" i="4"/>
  <c r="E39" i="4"/>
  <c r="E40" i="4"/>
  <c r="G94" i="4"/>
  <c r="F99" i="3"/>
  <c r="G92" i="3"/>
  <c r="G94" i="3"/>
  <c r="E94" i="4"/>
  <c r="G95" i="4" l="1"/>
  <c r="D103" i="3"/>
  <c r="F103" i="3" s="1"/>
  <c r="E95" i="4"/>
  <c r="E42" i="4"/>
  <c r="D50" i="4"/>
  <c r="H55" i="4" s="1"/>
  <c r="G95" i="5"/>
  <c r="E95" i="5"/>
  <c r="D50" i="5"/>
  <c r="D51" i="5" s="1"/>
  <c r="D105" i="4"/>
  <c r="D103" i="5"/>
  <c r="E42" i="5"/>
  <c r="D52" i="5"/>
  <c r="G42" i="5"/>
  <c r="D103" i="4"/>
  <c r="E95" i="3"/>
  <c r="D105" i="3"/>
  <c r="D52" i="3"/>
  <c r="D50" i="3"/>
  <c r="E42" i="3"/>
  <c r="G42" i="3"/>
  <c r="G95" i="3"/>
  <c r="G71" i="3"/>
  <c r="H71" i="3" s="1"/>
  <c r="D52" i="4"/>
  <c r="D105" i="5"/>
  <c r="E111" i="3" l="1"/>
  <c r="F111" i="3" s="1"/>
  <c r="G66" i="3"/>
  <c r="H66" i="3" s="1"/>
  <c r="G57" i="3"/>
  <c r="E113" i="4"/>
  <c r="F113" i="4" s="1"/>
  <c r="D104" i="4"/>
  <c r="E109" i="5"/>
  <c r="F109" i="5" s="1"/>
  <c r="H107" i="5"/>
  <c r="E113" i="5"/>
  <c r="F113" i="5" s="1"/>
  <c r="E108" i="5"/>
  <c r="F108" i="5" s="1"/>
  <c r="D104" i="5"/>
  <c r="E112" i="5"/>
  <c r="F112" i="5" s="1"/>
  <c r="E111" i="5"/>
  <c r="F111" i="5" s="1"/>
  <c r="E110" i="5"/>
  <c r="F110" i="5" s="1"/>
  <c r="D104" i="3"/>
  <c r="G69" i="5"/>
  <c r="H69" i="5" s="1"/>
  <c r="G70" i="5"/>
  <c r="H70" i="5" s="1"/>
  <c r="G62" i="5"/>
  <c r="H62" i="5" s="1"/>
  <c r="G61" i="5"/>
  <c r="H61" i="5" s="1"/>
  <c r="G71" i="5"/>
  <c r="H71" i="5" s="1"/>
  <c r="G64" i="5"/>
  <c r="H64" i="5" s="1"/>
  <c r="G65" i="5"/>
  <c r="H65" i="5" s="1"/>
  <c r="G60" i="5"/>
  <c r="G66" i="5"/>
  <c r="H66" i="5" s="1"/>
  <c r="G68" i="5"/>
  <c r="H68" i="5" s="1"/>
  <c r="G63" i="5"/>
  <c r="H63" i="5" s="1"/>
  <c r="G67" i="5"/>
  <c r="H67" i="5" s="1"/>
  <c r="E108" i="4"/>
  <c r="F108" i="4" s="1"/>
  <c r="E109" i="4"/>
  <c r="F109" i="4" s="1"/>
  <c r="E112" i="4"/>
  <c r="F112" i="4" s="1"/>
  <c r="E111" i="4"/>
  <c r="F111" i="4" s="1"/>
  <c r="E110" i="4"/>
  <c r="F110" i="4" s="1"/>
  <c r="E112" i="3"/>
  <c r="F112" i="3" s="1"/>
  <c r="E113" i="3"/>
  <c r="F113" i="3" s="1"/>
  <c r="G60" i="3"/>
  <c r="H60" i="3" s="1"/>
  <c r="G65" i="3"/>
  <c r="H65" i="3" s="1"/>
  <c r="G67" i="3"/>
  <c r="H67" i="3" s="1"/>
  <c r="G63" i="3"/>
  <c r="H63" i="3" s="1"/>
  <c r="G68" i="3"/>
  <c r="H68" i="3" s="1"/>
  <c r="G64" i="3"/>
  <c r="H64" i="3" s="1"/>
  <c r="D51" i="3"/>
  <c r="G69" i="3"/>
  <c r="H69" i="3" s="1"/>
  <c r="G61" i="3"/>
  <c r="H61" i="3" s="1"/>
  <c r="G70" i="3"/>
  <c r="H70" i="3" s="1"/>
  <c r="G62" i="3"/>
  <c r="H62" i="3" s="1"/>
  <c r="E110" i="3"/>
  <c r="F110" i="3" s="1"/>
  <c r="E109" i="3"/>
  <c r="F109" i="3" s="1"/>
  <c r="E108" i="3"/>
  <c r="F108" i="3" s="1"/>
  <c r="G71" i="4"/>
  <c r="H71" i="4" s="1"/>
  <c r="G69" i="4"/>
  <c r="H69" i="4" s="1"/>
  <c r="G66" i="4"/>
  <c r="H66" i="4" s="1"/>
  <c r="G64" i="4"/>
  <c r="H64" i="4" s="1"/>
  <c r="G62" i="4"/>
  <c r="H62" i="4" s="1"/>
  <c r="G60" i="4"/>
  <c r="D51" i="4"/>
  <c r="G70" i="4"/>
  <c r="H70" i="4" s="1"/>
  <c r="G68" i="4"/>
  <c r="H68" i="4" s="1"/>
  <c r="G67" i="4"/>
  <c r="H67" i="4" s="1"/>
  <c r="G63" i="4"/>
  <c r="H63" i="4" s="1"/>
  <c r="G61" i="4"/>
  <c r="H61" i="4" s="1"/>
  <c r="G65" i="4"/>
  <c r="H65" i="4" s="1"/>
  <c r="F115" i="5" l="1"/>
  <c r="E115" i="5"/>
  <c r="E116" i="5" s="1"/>
  <c r="E115" i="4"/>
  <c r="E116" i="4" s="1"/>
  <c r="E117" i="5"/>
  <c r="G72" i="5"/>
  <c r="G73" i="5" s="1"/>
  <c r="H60" i="5"/>
  <c r="G74" i="5"/>
  <c r="E117" i="4"/>
  <c r="G72" i="3"/>
  <c r="G73" i="3" s="1"/>
  <c r="G74" i="3"/>
  <c r="E115" i="3"/>
  <c r="E116" i="3" s="1"/>
  <c r="E117" i="3"/>
  <c r="F117" i="4"/>
  <c r="F115" i="4"/>
  <c r="F117" i="3"/>
  <c r="F115" i="3"/>
  <c r="G74" i="4"/>
  <c r="H60" i="4"/>
  <c r="H73" i="4" s="1"/>
  <c r="G72" i="4"/>
  <c r="F117" i="5"/>
  <c r="H74" i="3"/>
  <c r="H72" i="3"/>
  <c r="H73" i="5" l="1"/>
  <c r="G73" i="4"/>
  <c r="H74" i="5"/>
  <c r="H74" i="4"/>
  <c r="F116" i="5"/>
  <c r="G120" i="5"/>
  <c r="G76" i="3"/>
  <c r="H73" i="3"/>
  <c r="G120" i="3"/>
  <c r="F116" i="3"/>
  <c r="F116" i="4"/>
  <c r="G120" i="4"/>
  <c r="G76" i="5" l="1"/>
  <c r="G76" i="4"/>
</calcChain>
</file>

<file path=xl/sharedStrings.xml><?xml version="1.0" encoding="utf-8"?>
<sst xmlns="http://schemas.openxmlformats.org/spreadsheetml/2006/main" count="643" uniqueCount="141">
  <si>
    <t>Analysis Data</t>
  </si>
  <si>
    <t>Reference Substance:</t>
  </si>
  <si>
    <t>% age Purity: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</si>
  <si>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</si>
  <si>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</si>
  <si>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</si>
  <si>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</si>
  <si>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</si>
  <si>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</si>
  <si>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</si>
  <si>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</si>
  <si>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</si>
  <si>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</si>
  <si>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</si>
  <si>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</si>
  <si>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</si>
  <si>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</si>
  <si>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</si>
  <si>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</si>
  <si>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</si>
  <si>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</si>
  <si>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</si>
  <si>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</si>
  <si>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</si>
  <si>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</si>
  <si>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</si>
  <si>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</si>
  <si>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</si>
  <si>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</si>
  <si>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</si>
  <si>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</si>
  <si>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</si>
  <si>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</si>
  <si>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</si>
  <si>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</si>
  <si>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</si>
  <si>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</si>
  <si>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</si>
  <si>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</si>
  <si>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</si>
  <si>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</si>
  <si>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</si>
  <si>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</si>
  <si>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</si>
  <si>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</si>
  <si>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</si>
  <si>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</si>
  <si>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</si>
  <si>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</si>
  <si>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</si>
  <si>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</si>
  <si>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</si>
  <si>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</si>
  <si>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</si>
  <si>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</si>
  <si>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</si>
  <si>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</si>
  <si>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</si>
  <si>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</si>
  <si>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</si>
  <si>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</si>
  <si>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</si>
  <si>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</si>
  <si>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</si>
  <si>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</si>
  <si>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</si>
  <si>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</si>
  <si>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</si>
  <si>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</si>
  <si>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</si>
  <si>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</si>
  <si>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</si>
  <si>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</si>
  <si>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</si>
  <si>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</si>
  <si>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</si>
  <si>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</si>
  <si>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</si>
  <si>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</si>
  <si>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</si>
  <si>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</si>
  <si>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</si>
  <si>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</si>
  <si>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</si>
  <si>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</si>
  <si>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</si>
  <si>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</si>
  <si>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</si>
  <si>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</si>
  <si>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</si>
  <si>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</si>
  <si>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</si>
  <si>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</si>
  <si>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</si>
  <si>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</si>
  <si>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</si>
  <si>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</si>
  <si>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</si>
  <si>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</si>
  <si>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</si>
  <si>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E15-3</t>
  </si>
  <si>
    <t>T11-6</t>
  </si>
  <si>
    <t>LAMIVUDINE</t>
  </si>
  <si>
    <t>L3-9</t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</si>
  <si>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</si>
  <si>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</si>
  <si>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</si>
  <si>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t>Summary:</t>
  </si>
  <si>
    <t xml:space="preserve">RSD: </t>
  </si>
  <si>
    <t>Averages:</t>
  </si>
  <si>
    <t>Retention Times (min)</t>
  </si>
  <si>
    <t>Tailing Factor (Assym)</t>
  </si>
  <si>
    <t xml:space="preserve">Theoretical Plates (USP) </t>
  </si>
  <si>
    <t>Peak Areas</t>
  </si>
  <si>
    <t>Injection Number</t>
  </si>
  <si>
    <t>Standard Conc (mg/mL):</t>
  </si>
  <si>
    <t>Weight (mg):</t>
  </si>
  <si>
    <t>Dissolution</t>
  </si>
  <si>
    <t>Sample(s)</t>
  </si>
  <si>
    <t>Assay</t>
  </si>
  <si>
    <t>HPLC System Suitability Report</t>
  </si>
  <si>
    <t>Tablet No.</t>
  </si>
  <si>
    <t>EFAVIRENZ 600 mg, LAMIVUDINE 300 mg and TENOFOVIR DF 300 mg TABLETS</t>
  </si>
  <si>
    <t>Efavirenz, Lamivudine and Tenofovir Disoproxil Fumarate</t>
  </si>
  <si>
    <t>Each tablet contains Efavirenz 600 mg, Lamivudine 300 mg and Tenofovir DF 300 mg</t>
  </si>
  <si>
    <t>Tablet Weight (mg)</t>
  </si>
  <si>
    <t>EFAVIRENZ 600 mg, LAMIVUDINE 300 mg AND TENOFOVIR DISOPROXIL FUMARATE 300 mg TABLETS</t>
  </si>
  <si>
    <t>Efavirenz 600 mg, Lamivudine 300 mg and Tenofovir Disoproxil Fumarate 300 mg Tablets</t>
  </si>
  <si>
    <t>Efavirenz 600 mg, Lamivudine 300 mg and Tenofovir Disoproxil Fumarate 300 mg</t>
  </si>
  <si>
    <t>Each film-coated tablet contains Efavirenz 600 mg, Lamivudine USP 300 mg, Tenofovir Disoproxil Fumarate 300mg equivalent to tenofovir disoproxil 245 mg</t>
  </si>
  <si>
    <t>Each film-coated tablet contains Efavirenz 600 mg, Lamivudine USP 300 mg, Tenofovir Disoproxil Fumarate 300 mg equivalent to tenofovir disoproxil 245 mg</t>
  </si>
  <si>
    <t>EFAVIRENZ</t>
  </si>
  <si>
    <t>=</t>
  </si>
  <si>
    <t>TENOFOVIR DISOPROXIL FUMARATE</t>
  </si>
  <si>
    <t>NDQB201604869</t>
  </si>
  <si>
    <t>Tenofovir Disoproxil Fumarate</t>
  </si>
  <si>
    <t>Lamivudine</t>
  </si>
  <si>
    <t>Efavirenz</t>
  </si>
  <si>
    <t>PETER KIPKORIR</t>
  </si>
  <si>
    <t>NDQB201604866</t>
  </si>
  <si>
    <t>Average Tablet Weight (mg):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</si>
</sst>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dd\-mmm\-yyyy"/>
    <numFmt numFmtId="168" formatCode="dd\-mmm\-yy"/>
    <numFmt numFmtId="169" formatCode="0.0000\ &quot;mg&quot;"/>
    <numFmt numFmtId="170" formatCode="0.000"/>
    <numFmt numFmtId="171" formatCode="0.0\ &quot;mg&quot;"/>
    <numFmt numFmtId="172" formatCode="0.0"/>
    <numFmt numFmtId="173" formatCode="#,##0.0"/>
  </numFmts>
  <fonts count="3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Book Antiqua"/>
      <family val="1"/>
    </font>
    <font>
      <b/>
      <sz val="10"/>
      <color rgb="FF000000"/>
      <name val="Book Antiqua"/>
      <family val="1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u/>
      <sz val="14"/>
      <color rgb="FF000000"/>
      <name val="Book Antiqua"/>
      <family val="1"/>
    </font>
    <font>
      <sz val="10"/>
      <color rgb="FF000000"/>
      <name val="Arial"/>
      <family val="2"/>
    </font>
    <font>
      <b/>
      <u/>
      <sz val="10"/>
      <color rgb="FF000000"/>
      <name val="Book Antiqua"/>
      <family val="1"/>
    </font>
    <font>
      <b/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9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4" fillId="2" borderId="0"/>
    <xf numFmtId="9" fontId="32" fillId="0" borderId="0" applyFont="0" applyFill="0" applyBorder="0" applyAlignment="0" applyProtection="0"/>
  </cellStyleXfs>
  <cellXfs count="756">
    <xf numFmtId="0" fontId="0" fillId="2" borderId="0" xfId="0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9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9" fillId="3" borderId="0" xfId="0" applyFont="1" applyFill="1" applyProtection="1">
      <protection locked="0"/>
    </xf>
    <xf numFmtId="167" fontId="12" fillId="3" borderId="0" xfId="0" applyNumberFormat="1" applyFont="1" applyFill="1" applyAlignment="1" applyProtection="1">
      <alignment horizontal="center"/>
      <protection locked="0"/>
    </xf>
    <xf numFmtId="168" fontId="9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0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center"/>
    </xf>
    <xf numFmtId="0" fontId="14" fillId="2" borderId="0" xfId="0" applyFont="1" applyFill="1"/>
    <xf numFmtId="0" fontId="15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vertical="center" wrapText="1"/>
    </xf>
    <xf numFmtId="2" fontId="10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0" fillId="2" borderId="0" xfId="0" applyNumberFormat="1" applyFont="1" applyFill="1" applyAlignment="1">
      <alignment horizontal="center"/>
    </xf>
    <xf numFmtId="0" fontId="9" fillId="2" borderId="16" xfId="0" applyFont="1" applyFill="1" applyBorder="1" applyAlignment="1">
      <alignment horizontal="right"/>
    </xf>
    <xf numFmtId="0" fontId="11" fillId="3" borderId="17" xfId="0" applyFont="1" applyFill="1" applyBorder="1" applyAlignment="1" applyProtection="1">
      <alignment horizontal="center"/>
      <protection locked="0"/>
    </xf>
    <xf numFmtId="0" fontId="9" fillId="2" borderId="18" xfId="0" applyFont="1" applyFill="1" applyBorder="1" applyAlignment="1">
      <alignment horizontal="right"/>
    </xf>
    <xf numFmtId="0" fontId="11" fillId="3" borderId="19" xfId="0" applyFont="1" applyFill="1" applyBorder="1" applyAlignment="1" applyProtection="1">
      <alignment horizontal="center"/>
      <protection locked="0"/>
    </xf>
    <xf numFmtId="0" fontId="10" fillId="2" borderId="17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11" fillId="3" borderId="24" xfId="0" applyFont="1" applyFill="1" applyBorder="1" applyAlignment="1" applyProtection="1">
      <alignment horizontal="center"/>
      <protection locked="0"/>
    </xf>
    <xf numFmtId="170" fontId="9" fillId="2" borderId="21" xfId="0" applyNumberFormat="1" applyFont="1" applyFill="1" applyBorder="1" applyAlignment="1">
      <alignment horizontal="center"/>
    </xf>
    <xf numFmtId="170" fontId="9" fillId="2" borderId="25" xfId="0" applyNumberFormat="1" applyFont="1" applyFill="1" applyBorder="1" applyAlignment="1">
      <alignment horizontal="center"/>
    </xf>
    <xf numFmtId="0" fontId="16" fillId="2" borderId="8" xfId="0" applyFont="1" applyFill="1" applyBorder="1"/>
    <xf numFmtId="0" fontId="9" fillId="2" borderId="19" xfId="0" applyFont="1" applyFill="1" applyBorder="1" applyAlignment="1">
      <alignment horizontal="center"/>
    </xf>
    <xf numFmtId="0" fontId="11" fillId="3" borderId="18" xfId="0" applyFont="1" applyFill="1" applyBorder="1" applyAlignment="1" applyProtection="1">
      <alignment horizontal="center"/>
      <protection locked="0"/>
    </xf>
    <xf numFmtId="170" fontId="9" fillId="2" borderId="26" xfId="0" applyNumberFormat="1" applyFont="1" applyFill="1" applyBorder="1" applyAlignment="1">
      <alignment horizontal="center"/>
    </xf>
    <xf numFmtId="170" fontId="9" fillId="2" borderId="27" xfId="0" applyNumberFormat="1" applyFont="1" applyFill="1" applyBorder="1" applyAlignment="1">
      <alignment horizontal="center"/>
    </xf>
    <xf numFmtId="0" fontId="9" fillId="2" borderId="0" xfId="0" applyFont="1" applyFill="1"/>
    <xf numFmtId="0" fontId="9" fillId="2" borderId="28" xfId="0" applyFont="1" applyFill="1" applyBorder="1" applyAlignment="1">
      <alignment horizontal="center"/>
    </xf>
    <xf numFmtId="0" fontId="11" fillId="3" borderId="29" xfId="0" applyFont="1" applyFill="1" applyBorder="1" applyAlignment="1" applyProtection="1">
      <alignment horizontal="center"/>
      <protection locked="0"/>
    </xf>
    <xf numFmtId="170" fontId="9" fillId="2" borderId="30" xfId="0" applyNumberFormat="1" applyFont="1" applyFill="1" applyBorder="1" applyAlignment="1">
      <alignment horizontal="center"/>
    </xf>
    <xf numFmtId="170" fontId="9" fillId="2" borderId="31" xfId="0" applyNumberFormat="1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9" xfId="0" applyFont="1" applyFill="1" applyBorder="1" applyAlignment="1">
      <alignment horizontal="right"/>
    </xf>
    <xf numFmtId="1" fontId="10" fillId="4" borderId="32" xfId="0" applyNumberFormat="1" applyFont="1" applyFill="1" applyBorder="1" applyAlignment="1">
      <alignment horizontal="center"/>
    </xf>
    <xf numFmtId="170" fontId="10" fillId="4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9" fillId="2" borderId="35" xfId="0" applyFont="1" applyFill="1" applyBorder="1" applyAlignment="1">
      <alignment horizontal="right"/>
    </xf>
    <xf numFmtId="0" fontId="11" fillId="3" borderId="11" xfId="0" applyFont="1" applyFill="1" applyBorder="1" applyAlignment="1" applyProtection="1">
      <alignment horizontal="center"/>
      <protection locked="0"/>
    </xf>
    <xf numFmtId="0" fontId="9" fillId="2" borderId="6" xfId="0" applyFont="1" applyFill="1" applyBorder="1" applyAlignment="1">
      <alignment horizontal="right"/>
    </xf>
    <xf numFmtId="2" fontId="9" fillId="4" borderId="36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9" xfId="0" applyFont="1" applyFill="1" applyBorder="1" applyAlignment="1">
      <alignment horizontal="center"/>
    </xf>
    <xf numFmtId="2" fontId="9" fillId="5" borderId="36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66" fontId="9" fillId="4" borderId="36" xfId="0" applyNumberFormat="1" applyFont="1" applyFill="1" applyBorder="1" applyAlignment="1">
      <alignment horizontal="center"/>
    </xf>
    <xf numFmtId="166" fontId="9" fillId="2" borderId="0" xfId="0" applyNumberFormat="1" applyFont="1" applyFill="1" applyAlignment="1">
      <alignment horizontal="center"/>
    </xf>
    <xf numFmtId="166" fontId="9" fillId="4" borderId="12" xfId="0" applyNumberFormat="1" applyFont="1" applyFill="1" applyBorder="1" applyAlignment="1">
      <alignment horizontal="center"/>
    </xf>
    <xf numFmtId="0" fontId="9" fillId="2" borderId="37" xfId="0" applyFont="1" applyFill="1" applyBorder="1" applyAlignment="1">
      <alignment horizontal="right"/>
    </xf>
    <xf numFmtId="166" fontId="11" fillId="3" borderId="36" xfId="0" applyNumberFormat="1" applyFont="1" applyFill="1" applyBorder="1" applyAlignment="1" applyProtection="1">
      <alignment horizontal="center"/>
      <protection locked="0"/>
    </xf>
    <xf numFmtId="166" fontId="9" fillId="2" borderId="0" xfId="0" applyNumberFormat="1" applyFont="1" applyFill="1"/>
    <xf numFmtId="0" fontId="9" fillId="2" borderId="24" xfId="0" applyFont="1" applyFill="1" applyBorder="1" applyAlignment="1">
      <alignment horizontal="right"/>
    </xf>
    <xf numFmtId="1" fontId="9" fillId="2" borderId="0" xfId="0" applyNumberFormat="1" applyFont="1" applyFill="1" applyAlignment="1">
      <alignment horizontal="center"/>
    </xf>
    <xf numFmtId="0" fontId="9" fillId="2" borderId="10" xfId="0" applyFont="1" applyFill="1" applyBorder="1" applyAlignment="1">
      <alignment horizontal="right"/>
    </xf>
    <xf numFmtId="2" fontId="9" fillId="4" borderId="10" xfId="0" applyNumberFormat="1" applyFont="1" applyFill="1" applyBorder="1" applyAlignment="1">
      <alignment horizontal="center"/>
    </xf>
    <xf numFmtId="170" fontId="10" fillId="5" borderId="8" xfId="0" applyNumberFormat="1" applyFont="1" applyFill="1" applyBorder="1" applyAlignment="1">
      <alignment horizontal="center"/>
    </xf>
    <xf numFmtId="170" fontId="9" fillId="2" borderId="0" xfId="0" applyNumberFormat="1" applyFont="1" applyFill="1" applyAlignment="1">
      <alignment horizontal="center"/>
    </xf>
    <xf numFmtId="10" fontId="9" fillId="4" borderId="36" xfId="0" applyNumberFormat="1" applyFont="1" applyFill="1" applyBorder="1" applyAlignment="1">
      <alignment horizontal="center"/>
    </xf>
    <xf numFmtId="0" fontId="9" fillId="2" borderId="38" xfId="0" applyFont="1" applyFill="1" applyBorder="1" applyAlignment="1">
      <alignment horizontal="right"/>
    </xf>
    <xf numFmtId="0" fontId="9" fillId="5" borderId="10" xfId="0" applyFont="1" applyFill="1" applyBorder="1" applyAlignment="1">
      <alignment horizontal="center"/>
    </xf>
    <xf numFmtId="0" fontId="3" fillId="2" borderId="0" xfId="0" applyFont="1" applyFill="1"/>
    <xf numFmtId="0" fontId="10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71" fontId="11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11" fillId="3" borderId="16" xfId="0" applyFont="1" applyFill="1" applyBorder="1" applyAlignment="1" applyProtection="1">
      <alignment horizontal="center"/>
      <protection locked="0"/>
    </xf>
    <xf numFmtId="10" fontId="9" fillId="2" borderId="8" xfId="0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/>
    </xf>
    <xf numFmtId="10" fontId="9" fillId="2" borderId="9" xfId="0" applyNumberFormat="1" applyFont="1" applyFill="1" applyBorder="1" applyAlignment="1">
      <alignment horizontal="center" vertical="center"/>
    </xf>
    <xf numFmtId="1" fontId="11" fillId="3" borderId="18" xfId="0" applyNumberFormat="1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>
      <alignment horizontal="center"/>
    </xf>
    <xf numFmtId="0" fontId="11" fillId="3" borderId="38" xfId="0" applyFont="1" applyFill="1" applyBorder="1" applyAlignment="1" applyProtection="1">
      <alignment horizontal="center"/>
      <protection locked="0"/>
    </xf>
    <xf numFmtId="10" fontId="9" fillId="2" borderId="17" xfId="0" applyNumberFormat="1" applyFont="1" applyFill="1" applyBorder="1" applyAlignment="1">
      <alignment horizontal="center" vertical="center"/>
    </xf>
    <xf numFmtId="10" fontId="9" fillId="2" borderId="19" xfId="0" applyNumberFormat="1" applyFont="1" applyFill="1" applyBorder="1" applyAlignment="1">
      <alignment horizontal="center" vertical="center"/>
    </xf>
    <xf numFmtId="10" fontId="9" fillId="2" borderId="39" xfId="0" applyNumberFormat="1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/>
    </xf>
    <xf numFmtId="2" fontId="12" fillId="2" borderId="39" xfId="0" applyNumberFormat="1" applyFont="1" applyFill="1" applyBorder="1" applyAlignment="1">
      <alignment horizontal="center"/>
    </xf>
    <xf numFmtId="10" fontId="9" fillId="2" borderId="10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40" xfId="0" applyFont="1" applyFill="1" applyBorder="1" applyAlignment="1">
      <alignment horizontal="right"/>
    </xf>
    <xf numFmtId="10" fontId="11" fillId="5" borderId="28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right"/>
    </xf>
    <xf numFmtId="2" fontId="9" fillId="2" borderId="0" xfId="0" applyNumberFormat="1" applyFont="1" applyFill="1" applyAlignment="1">
      <alignment horizontal="center"/>
    </xf>
    <xf numFmtId="0" fontId="9" fillId="2" borderId="12" xfId="0" applyFont="1" applyFill="1" applyBorder="1" applyAlignment="1">
      <alignment horizontal="right"/>
    </xf>
    <xf numFmtId="0" fontId="11" fillId="5" borderId="41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9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3" borderId="0" xfId="0" applyFont="1" applyFill="1" applyAlignment="1" applyProtection="1">
      <alignment horizontal="center"/>
      <protection locked="0"/>
    </xf>
    <xf numFmtId="0" fontId="10" fillId="2" borderId="42" xfId="0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170" fontId="11" fillId="3" borderId="29" xfId="0" applyNumberFormat="1" applyFont="1" applyFill="1" applyBorder="1" applyAlignment="1" applyProtection="1">
      <alignment horizontal="center"/>
      <protection locked="0"/>
    </xf>
    <xf numFmtId="0" fontId="9" fillId="2" borderId="0" xfId="0" applyFont="1" applyFill="1" applyAlignment="1">
      <alignment horizontal="right"/>
    </xf>
    <xf numFmtId="1" fontId="10" fillId="4" borderId="44" xfId="0" applyNumberFormat="1" applyFont="1" applyFill="1" applyBorder="1" applyAlignment="1">
      <alignment horizontal="center"/>
    </xf>
    <xf numFmtId="1" fontId="10" fillId="4" borderId="45" xfId="0" applyNumberFormat="1" applyFont="1" applyFill="1" applyBorder="1" applyAlignment="1">
      <alignment horizontal="center"/>
    </xf>
    <xf numFmtId="170" fontId="10" fillId="4" borderId="10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right"/>
    </xf>
    <xf numFmtId="0" fontId="11" fillId="3" borderId="47" xfId="0" applyFont="1" applyFill="1" applyBorder="1" applyAlignment="1" applyProtection="1">
      <alignment horizontal="center"/>
      <protection locked="0"/>
    </xf>
    <xf numFmtId="0" fontId="9" fillId="2" borderId="20" xfId="0" applyFont="1" applyFill="1" applyBorder="1" applyAlignment="1">
      <alignment horizontal="right"/>
    </xf>
    <xf numFmtId="2" fontId="9" fillId="4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2" fontId="9" fillId="5" borderId="22" xfId="0" applyNumberFormat="1" applyFont="1" applyFill="1" applyBorder="1" applyAlignment="1">
      <alignment horizontal="center"/>
    </xf>
    <xf numFmtId="166" fontId="9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9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48" xfId="0" applyFont="1" applyFill="1" applyBorder="1" applyAlignment="1">
      <alignment horizontal="right"/>
    </xf>
    <xf numFmtId="2" fontId="9" fillId="5" borderId="25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wrapText="1"/>
    </xf>
    <xf numFmtId="0" fontId="9" fillId="2" borderId="11" xfId="0" applyFont="1" applyFill="1" applyBorder="1" applyAlignment="1">
      <alignment horizontal="right"/>
    </xf>
    <xf numFmtId="170" fontId="10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0" fontId="10" fillId="2" borderId="50" xfId="0" applyFont="1" applyFill="1" applyBorder="1" applyAlignment="1">
      <alignment horizontal="center"/>
    </xf>
    <xf numFmtId="0" fontId="10" fillId="2" borderId="17" xfId="0" applyFont="1" applyFill="1" applyBorder="1" applyAlignment="1">
      <alignment horizontal="center" wrapText="1"/>
    </xf>
    <xf numFmtId="0" fontId="9" fillId="2" borderId="18" xfId="0" applyFont="1" applyFill="1" applyBorder="1" applyAlignment="1">
      <alignment horizontal="center"/>
    </xf>
    <xf numFmtId="1" fontId="11" fillId="3" borderId="26" xfId="0" applyNumberFormat="1" applyFont="1" applyFill="1" applyBorder="1" applyAlignment="1" applyProtection="1">
      <alignment horizontal="center"/>
      <protection locked="0"/>
    </xf>
    <xf numFmtId="10" fontId="9" fillId="2" borderId="25" xfId="0" applyNumberFormat="1" applyFont="1" applyFill="1" applyBorder="1" applyAlignment="1">
      <alignment horizontal="center"/>
    </xf>
    <xf numFmtId="10" fontId="9" fillId="2" borderId="27" xfId="0" applyNumberFormat="1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1" fontId="11" fillId="3" borderId="30" xfId="0" applyNumberFormat="1" applyFont="1" applyFill="1" applyBorder="1" applyAlignment="1" applyProtection="1">
      <alignment horizontal="center"/>
      <protection locked="0"/>
    </xf>
    <xf numFmtId="10" fontId="9" fillId="2" borderId="31" xfId="0" applyNumberFormat="1" applyFont="1" applyFill="1" applyBorder="1" applyAlignment="1">
      <alignment horizontal="center"/>
    </xf>
    <xf numFmtId="2" fontId="9" fillId="2" borderId="19" xfId="0" applyNumberFormat="1" applyFont="1" applyFill="1" applyBorder="1" applyAlignment="1">
      <alignment horizontal="center"/>
    </xf>
    <xf numFmtId="10" fontId="11" fillId="5" borderId="22" xfId="0" applyNumberFormat="1" applyFont="1" applyFill="1" applyBorder="1" applyAlignment="1">
      <alignment horizontal="center"/>
    </xf>
    <xf numFmtId="0" fontId="9" fillId="2" borderId="18" xfId="0" applyFont="1" applyFill="1" applyBorder="1"/>
    <xf numFmtId="10" fontId="11" fillId="4" borderId="22" xfId="0" applyNumberFormat="1" applyFont="1" applyFill="1" applyBorder="1" applyAlignment="1">
      <alignment horizontal="center"/>
    </xf>
    <xf numFmtId="0" fontId="9" fillId="2" borderId="38" xfId="0" applyFont="1" applyFill="1" applyBorder="1"/>
    <xf numFmtId="0" fontId="11" fillId="5" borderId="12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/>
    <xf numFmtId="0" fontId="9" fillId="2" borderId="5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9" fillId="2" borderId="3" xfId="0" applyFont="1" applyFill="1" applyBorder="1"/>
    <xf numFmtId="0" fontId="9" fillId="2" borderId="3" xfId="0" applyFont="1" applyFill="1" applyBorder="1"/>
    <xf numFmtId="0" fontId="10" fillId="2" borderId="6" xfId="0" applyFont="1" applyFill="1" applyBorder="1"/>
    <xf numFmtId="0" fontId="9" fillId="2" borderId="6" xfId="0" applyFont="1" applyFill="1" applyBorder="1"/>
    <xf numFmtId="0" fontId="17" fillId="2" borderId="0" xfId="0" applyFont="1" applyFill="1" applyAlignment="1">
      <alignment horizontal="right" vertical="center" wrapText="1"/>
    </xf>
    <xf numFmtId="0" fontId="11" fillId="2" borderId="0" xfId="0" applyFont="1" applyFill="1" applyAlignment="1" applyProtection="1">
      <alignment horizontal="right"/>
      <protection locked="0"/>
    </xf>
    <xf numFmtId="166" fontId="10" fillId="2" borderId="0" xfId="0" applyNumberFormat="1" applyFont="1" applyFill="1" applyAlignment="1" applyProtection="1">
      <alignment horizontal="center"/>
      <protection locked="0"/>
    </xf>
    <xf numFmtId="166" fontId="9" fillId="2" borderId="16" xfId="0" applyNumberFormat="1" applyFont="1" applyFill="1" applyBorder="1" applyAlignment="1">
      <alignment horizontal="center"/>
    </xf>
    <xf numFmtId="166" fontId="9" fillId="2" borderId="18" xfId="0" applyNumberFormat="1" applyFont="1" applyFill="1" applyBorder="1" applyAlignment="1">
      <alignment horizontal="center"/>
    </xf>
    <xf numFmtId="166" fontId="9" fillId="2" borderId="8" xfId="0" applyNumberFormat="1" applyFont="1" applyFill="1" applyBorder="1" applyAlignment="1">
      <alignment horizontal="center"/>
    </xf>
    <xf numFmtId="166" fontId="9" fillId="2" borderId="9" xfId="0" applyNumberFormat="1" applyFont="1" applyFill="1" applyBorder="1" applyAlignment="1">
      <alignment horizontal="center"/>
    </xf>
    <xf numFmtId="166" fontId="9" fillId="2" borderId="10" xfId="0" applyNumberFormat="1" applyFont="1" applyFill="1" applyBorder="1" applyAlignment="1">
      <alignment horizontal="center"/>
    </xf>
    <xf numFmtId="10" fontId="11" fillId="4" borderId="52" xfId="0" applyNumberFormat="1" applyFont="1" applyFill="1" applyBorder="1" applyAlignment="1">
      <alignment horizontal="center"/>
    </xf>
    <xf numFmtId="166" fontId="9" fillId="2" borderId="21" xfId="0" applyNumberFormat="1" applyFont="1" applyFill="1" applyBorder="1" applyAlignment="1">
      <alignment horizontal="center"/>
    </xf>
    <xf numFmtId="166" fontId="9" fillId="2" borderId="26" xfId="0" applyNumberFormat="1" applyFont="1" applyFill="1" applyBorder="1" applyAlignment="1">
      <alignment horizontal="center"/>
    </xf>
    <xf numFmtId="166" fontId="9" fillId="2" borderId="30" xfId="0" applyNumberFormat="1" applyFont="1" applyFill="1" applyBorder="1" applyAlignment="1">
      <alignment horizontal="center"/>
    </xf>
    <xf numFmtId="2" fontId="11" fillId="5" borderId="28" xfId="0" applyNumberFormat="1" applyFont="1" applyFill="1" applyBorder="1" applyAlignment="1">
      <alignment horizontal="center"/>
    </xf>
    <xf numFmtId="2" fontId="11" fillId="5" borderId="22" xfId="0" applyNumberFormat="1" applyFont="1" applyFill="1" applyBorder="1" applyAlignment="1">
      <alignment horizontal="center"/>
    </xf>
    <xf numFmtId="0" fontId="12" fillId="2" borderId="0" xfId="0" applyFont="1" applyFill="1"/>
    <xf numFmtId="0" fontId="9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9" fillId="3" borderId="0" xfId="0" applyFont="1" applyFill="1" applyProtection="1">
      <protection locked="0"/>
    </xf>
    <xf numFmtId="167" fontId="12" fillId="3" borderId="0" xfId="0" applyNumberFormat="1" applyFont="1" applyFill="1" applyAlignment="1" applyProtection="1">
      <alignment horizontal="center"/>
      <protection locked="0"/>
    </xf>
    <xf numFmtId="168" fontId="9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0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center"/>
    </xf>
    <xf numFmtId="0" fontId="14" fillId="2" borderId="0" xfId="0" applyFont="1" applyFill="1"/>
    <xf numFmtId="0" fontId="15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vertical="center" wrapText="1"/>
    </xf>
    <xf numFmtId="2" fontId="10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0" fillId="2" borderId="0" xfId="0" applyNumberFormat="1" applyFont="1" applyFill="1" applyAlignment="1">
      <alignment horizontal="center"/>
    </xf>
    <xf numFmtId="0" fontId="9" fillId="2" borderId="16" xfId="0" applyFont="1" applyFill="1" applyBorder="1" applyAlignment="1">
      <alignment horizontal="right"/>
    </xf>
    <xf numFmtId="0" fontId="11" fillId="3" borderId="17" xfId="0" applyFont="1" applyFill="1" applyBorder="1" applyAlignment="1" applyProtection="1">
      <alignment horizontal="center"/>
      <protection locked="0"/>
    </xf>
    <xf numFmtId="0" fontId="9" fillId="2" borderId="18" xfId="0" applyFont="1" applyFill="1" applyBorder="1" applyAlignment="1">
      <alignment horizontal="right"/>
    </xf>
    <xf numFmtId="0" fontId="11" fillId="3" borderId="19" xfId="0" applyFont="1" applyFill="1" applyBorder="1" applyAlignment="1" applyProtection="1">
      <alignment horizontal="center"/>
      <protection locked="0"/>
    </xf>
    <xf numFmtId="0" fontId="10" fillId="2" borderId="17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11" fillId="3" borderId="24" xfId="0" applyFont="1" applyFill="1" applyBorder="1" applyAlignment="1" applyProtection="1">
      <alignment horizontal="center"/>
      <protection locked="0"/>
    </xf>
    <xf numFmtId="170" fontId="9" fillId="2" borderId="21" xfId="0" applyNumberFormat="1" applyFont="1" applyFill="1" applyBorder="1" applyAlignment="1">
      <alignment horizontal="center"/>
    </xf>
    <xf numFmtId="170" fontId="9" fillId="2" borderId="25" xfId="0" applyNumberFormat="1" applyFont="1" applyFill="1" applyBorder="1" applyAlignment="1">
      <alignment horizontal="center"/>
    </xf>
    <xf numFmtId="0" fontId="16" fillId="2" borderId="8" xfId="0" applyFont="1" applyFill="1" applyBorder="1"/>
    <xf numFmtId="0" fontId="9" fillId="2" borderId="19" xfId="0" applyFont="1" applyFill="1" applyBorder="1" applyAlignment="1">
      <alignment horizontal="center"/>
    </xf>
    <xf numFmtId="0" fontId="11" fillId="3" borderId="18" xfId="0" applyFont="1" applyFill="1" applyBorder="1" applyAlignment="1" applyProtection="1">
      <alignment horizontal="center"/>
      <protection locked="0"/>
    </xf>
    <xf numFmtId="170" fontId="9" fillId="2" borderId="26" xfId="0" applyNumberFormat="1" applyFont="1" applyFill="1" applyBorder="1" applyAlignment="1">
      <alignment horizontal="center"/>
    </xf>
    <xf numFmtId="170" fontId="9" fillId="2" borderId="27" xfId="0" applyNumberFormat="1" applyFont="1" applyFill="1" applyBorder="1" applyAlignment="1">
      <alignment horizontal="center"/>
    </xf>
    <xf numFmtId="0" fontId="9" fillId="2" borderId="0" xfId="0" applyFont="1" applyFill="1"/>
    <xf numFmtId="0" fontId="9" fillId="2" borderId="28" xfId="0" applyFont="1" applyFill="1" applyBorder="1" applyAlignment="1">
      <alignment horizontal="center"/>
    </xf>
    <xf numFmtId="0" fontId="11" fillId="3" borderId="29" xfId="0" applyFont="1" applyFill="1" applyBorder="1" applyAlignment="1" applyProtection="1">
      <alignment horizontal="center"/>
      <protection locked="0"/>
    </xf>
    <xf numFmtId="170" fontId="9" fillId="2" borderId="30" xfId="0" applyNumberFormat="1" applyFont="1" applyFill="1" applyBorder="1" applyAlignment="1">
      <alignment horizontal="center"/>
    </xf>
    <xf numFmtId="170" fontId="9" fillId="2" borderId="31" xfId="0" applyNumberFormat="1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9" xfId="0" applyFont="1" applyFill="1" applyBorder="1" applyAlignment="1">
      <alignment horizontal="right"/>
    </xf>
    <xf numFmtId="1" fontId="10" fillId="4" borderId="32" xfId="0" applyNumberFormat="1" applyFont="1" applyFill="1" applyBorder="1" applyAlignment="1">
      <alignment horizontal="center"/>
    </xf>
    <xf numFmtId="170" fontId="10" fillId="4" borderId="33" xfId="0" applyNumberFormat="1" applyFont="1" applyFill="1" applyBorder="1" applyAlignment="1">
      <alignment horizontal="center"/>
    </xf>
    <xf numFmtId="170" fontId="10" fillId="4" borderId="3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9" fillId="2" borderId="35" xfId="0" applyFont="1" applyFill="1" applyBorder="1" applyAlignment="1">
      <alignment horizontal="right"/>
    </xf>
    <xf numFmtId="0" fontId="11" fillId="3" borderId="11" xfId="0" applyFont="1" applyFill="1" applyBorder="1" applyAlignment="1" applyProtection="1">
      <alignment horizontal="center"/>
      <protection locked="0"/>
    </xf>
    <xf numFmtId="0" fontId="9" fillId="2" borderId="6" xfId="0" applyFont="1" applyFill="1" applyBorder="1" applyAlignment="1">
      <alignment horizontal="right"/>
    </xf>
    <xf numFmtId="2" fontId="9" fillId="4" borderId="36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9" xfId="0" applyFont="1" applyFill="1" applyBorder="1" applyAlignment="1">
      <alignment horizontal="center"/>
    </xf>
    <xf numFmtId="2" fontId="9" fillId="5" borderId="36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66" fontId="9" fillId="4" borderId="36" xfId="0" applyNumberFormat="1" applyFont="1" applyFill="1" applyBorder="1" applyAlignment="1">
      <alignment horizontal="center"/>
    </xf>
    <xf numFmtId="166" fontId="9" fillId="2" borderId="0" xfId="0" applyNumberFormat="1" applyFont="1" applyFill="1" applyAlignment="1">
      <alignment horizontal="center"/>
    </xf>
    <xf numFmtId="166" fontId="9" fillId="4" borderId="12" xfId="0" applyNumberFormat="1" applyFont="1" applyFill="1" applyBorder="1" applyAlignment="1">
      <alignment horizontal="center"/>
    </xf>
    <xf numFmtId="0" fontId="9" fillId="2" borderId="37" xfId="0" applyFont="1" applyFill="1" applyBorder="1" applyAlignment="1">
      <alignment horizontal="right"/>
    </xf>
    <xf numFmtId="166" fontId="11" fillId="3" borderId="36" xfId="0" applyNumberFormat="1" applyFont="1" applyFill="1" applyBorder="1" applyAlignment="1" applyProtection="1">
      <alignment horizontal="center"/>
      <protection locked="0"/>
    </xf>
    <xf numFmtId="166" fontId="9" fillId="2" borderId="0" xfId="0" applyNumberFormat="1" applyFont="1" applyFill="1"/>
    <xf numFmtId="0" fontId="9" fillId="2" borderId="24" xfId="0" applyFont="1" applyFill="1" applyBorder="1" applyAlignment="1">
      <alignment horizontal="right"/>
    </xf>
    <xf numFmtId="1" fontId="9" fillId="2" borderId="0" xfId="0" applyNumberFormat="1" applyFont="1" applyFill="1" applyAlignment="1">
      <alignment horizontal="center"/>
    </xf>
    <xf numFmtId="0" fontId="9" fillId="2" borderId="10" xfId="0" applyFont="1" applyFill="1" applyBorder="1" applyAlignment="1">
      <alignment horizontal="right"/>
    </xf>
    <xf numFmtId="2" fontId="9" fillId="4" borderId="10" xfId="0" applyNumberFormat="1" applyFont="1" applyFill="1" applyBorder="1" applyAlignment="1">
      <alignment horizontal="center"/>
    </xf>
    <xf numFmtId="170" fontId="10" fillId="5" borderId="8" xfId="0" applyNumberFormat="1" applyFont="1" applyFill="1" applyBorder="1" applyAlignment="1">
      <alignment horizontal="center"/>
    </xf>
    <xf numFmtId="170" fontId="9" fillId="2" borderId="0" xfId="0" applyNumberFormat="1" applyFont="1" applyFill="1" applyAlignment="1">
      <alignment horizontal="center"/>
    </xf>
    <xf numFmtId="10" fontId="9" fillId="4" borderId="36" xfId="0" applyNumberFormat="1" applyFont="1" applyFill="1" applyBorder="1" applyAlignment="1">
      <alignment horizontal="center"/>
    </xf>
    <xf numFmtId="0" fontId="9" fillId="2" borderId="38" xfId="0" applyFont="1" applyFill="1" applyBorder="1" applyAlignment="1">
      <alignment horizontal="right"/>
    </xf>
    <xf numFmtId="0" fontId="9" fillId="5" borderId="10" xfId="0" applyFont="1" applyFill="1" applyBorder="1" applyAlignment="1">
      <alignment horizontal="center"/>
    </xf>
    <xf numFmtId="0" fontId="3" fillId="2" borderId="0" xfId="0" applyFont="1" applyFill="1"/>
    <xf numFmtId="0" fontId="10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71" fontId="11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11" fillId="3" borderId="16" xfId="0" applyFont="1" applyFill="1" applyBorder="1" applyAlignment="1" applyProtection="1">
      <alignment horizontal="center"/>
      <protection locked="0"/>
    </xf>
    <xf numFmtId="10" fontId="9" fillId="2" borderId="8" xfId="0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/>
    </xf>
    <xf numFmtId="10" fontId="9" fillId="2" borderId="9" xfId="0" applyNumberFormat="1" applyFont="1" applyFill="1" applyBorder="1" applyAlignment="1">
      <alignment horizontal="center" vertical="center"/>
    </xf>
    <xf numFmtId="1" fontId="11" fillId="3" borderId="18" xfId="0" applyNumberFormat="1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>
      <alignment horizontal="center"/>
    </xf>
    <xf numFmtId="0" fontId="11" fillId="3" borderId="38" xfId="0" applyFont="1" applyFill="1" applyBorder="1" applyAlignment="1" applyProtection="1">
      <alignment horizontal="center"/>
      <protection locked="0"/>
    </xf>
    <xf numFmtId="10" fontId="9" fillId="2" borderId="17" xfId="0" applyNumberFormat="1" applyFont="1" applyFill="1" applyBorder="1" applyAlignment="1">
      <alignment horizontal="center" vertical="center"/>
    </xf>
    <xf numFmtId="10" fontId="9" fillId="2" borderId="19" xfId="0" applyNumberFormat="1" applyFont="1" applyFill="1" applyBorder="1" applyAlignment="1">
      <alignment horizontal="center" vertical="center"/>
    </xf>
    <xf numFmtId="10" fontId="9" fillId="2" borderId="39" xfId="0" applyNumberFormat="1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/>
    </xf>
    <xf numFmtId="2" fontId="12" fillId="2" borderId="39" xfId="0" applyNumberFormat="1" applyFont="1" applyFill="1" applyBorder="1" applyAlignment="1">
      <alignment horizontal="center"/>
    </xf>
    <xf numFmtId="10" fontId="9" fillId="2" borderId="10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40" xfId="0" applyFont="1" applyFill="1" applyBorder="1" applyAlignment="1">
      <alignment horizontal="right"/>
    </xf>
    <xf numFmtId="10" fontId="11" fillId="5" borderId="28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right"/>
    </xf>
    <xf numFmtId="2" fontId="9" fillId="2" borderId="0" xfId="0" applyNumberFormat="1" applyFont="1" applyFill="1" applyAlignment="1">
      <alignment horizontal="center"/>
    </xf>
    <xf numFmtId="0" fontId="9" fillId="2" borderId="12" xfId="0" applyFont="1" applyFill="1" applyBorder="1" applyAlignment="1">
      <alignment horizontal="right"/>
    </xf>
    <xf numFmtId="0" fontId="11" fillId="5" borderId="41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9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3" borderId="0" xfId="0" applyFont="1" applyFill="1" applyAlignment="1" applyProtection="1">
      <alignment horizontal="center"/>
      <protection locked="0"/>
    </xf>
    <xf numFmtId="0" fontId="10" fillId="2" borderId="42" xfId="0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170" fontId="11" fillId="3" borderId="29" xfId="0" applyNumberFormat="1" applyFont="1" applyFill="1" applyBorder="1" applyAlignment="1" applyProtection="1">
      <alignment horizontal="center"/>
      <protection locked="0"/>
    </xf>
    <xf numFmtId="0" fontId="9" fillId="2" borderId="0" xfId="0" applyFont="1" applyFill="1" applyAlignment="1">
      <alignment horizontal="right"/>
    </xf>
    <xf numFmtId="1" fontId="10" fillId="4" borderId="44" xfId="0" applyNumberFormat="1" applyFont="1" applyFill="1" applyBorder="1" applyAlignment="1">
      <alignment horizontal="center"/>
    </xf>
    <xf numFmtId="1" fontId="10" fillId="4" borderId="45" xfId="0" applyNumberFormat="1" applyFont="1" applyFill="1" applyBorder="1" applyAlignment="1">
      <alignment horizontal="center"/>
    </xf>
    <xf numFmtId="170" fontId="10" fillId="4" borderId="10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right"/>
    </xf>
    <xf numFmtId="0" fontId="11" fillId="3" borderId="47" xfId="0" applyFont="1" applyFill="1" applyBorder="1" applyAlignment="1" applyProtection="1">
      <alignment horizontal="center"/>
      <protection locked="0"/>
    </xf>
    <xf numFmtId="0" fontId="9" fillId="2" borderId="20" xfId="0" applyFont="1" applyFill="1" applyBorder="1" applyAlignment="1">
      <alignment horizontal="right"/>
    </xf>
    <xf numFmtId="2" fontId="9" fillId="4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2" fontId="9" fillId="5" borderId="22" xfId="0" applyNumberFormat="1" applyFont="1" applyFill="1" applyBorder="1" applyAlignment="1">
      <alignment horizontal="center"/>
    </xf>
    <xf numFmtId="166" fontId="9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9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48" xfId="0" applyFont="1" applyFill="1" applyBorder="1" applyAlignment="1">
      <alignment horizontal="right"/>
    </xf>
    <xf numFmtId="2" fontId="9" fillId="5" borderId="25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wrapText="1"/>
    </xf>
    <xf numFmtId="0" fontId="9" fillId="2" borderId="11" xfId="0" applyFont="1" applyFill="1" applyBorder="1" applyAlignment="1">
      <alignment horizontal="right"/>
    </xf>
    <xf numFmtId="170" fontId="10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0" fontId="10" fillId="2" borderId="50" xfId="0" applyFont="1" applyFill="1" applyBorder="1" applyAlignment="1">
      <alignment horizontal="center"/>
    </xf>
    <xf numFmtId="0" fontId="10" fillId="2" borderId="17" xfId="0" applyFont="1" applyFill="1" applyBorder="1" applyAlignment="1">
      <alignment horizontal="center" wrapText="1"/>
    </xf>
    <xf numFmtId="0" fontId="9" fillId="2" borderId="18" xfId="0" applyFont="1" applyFill="1" applyBorder="1" applyAlignment="1">
      <alignment horizontal="center"/>
    </xf>
    <xf numFmtId="1" fontId="11" fillId="3" borderId="26" xfId="0" applyNumberFormat="1" applyFont="1" applyFill="1" applyBorder="1" applyAlignment="1" applyProtection="1">
      <alignment horizontal="center"/>
      <protection locked="0"/>
    </xf>
    <xf numFmtId="10" fontId="9" fillId="2" borderId="25" xfId="0" applyNumberFormat="1" applyFont="1" applyFill="1" applyBorder="1" applyAlignment="1">
      <alignment horizontal="center"/>
    </xf>
    <xf numFmtId="10" fontId="9" fillId="2" borderId="27" xfId="0" applyNumberFormat="1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1" fontId="11" fillId="3" borderId="30" xfId="0" applyNumberFormat="1" applyFont="1" applyFill="1" applyBorder="1" applyAlignment="1" applyProtection="1">
      <alignment horizontal="center"/>
      <protection locked="0"/>
    </xf>
    <xf numFmtId="10" fontId="9" fillId="2" borderId="31" xfId="0" applyNumberFormat="1" applyFont="1" applyFill="1" applyBorder="1" applyAlignment="1">
      <alignment horizontal="center"/>
    </xf>
    <xf numFmtId="2" fontId="9" fillId="2" borderId="19" xfId="0" applyNumberFormat="1" applyFont="1" applyFill="1" applyBorder="1" applyAlignment="1">
      <alignment horizontal="center"/>
    </xf>
    <xf numFmtId="170" fontId="9" fillId="2" borderId="2" xfId="0" applyNumberFormat="1" applyFont="1" applyFill="1" applyBorder="1" applyAlignment="1">
      <alignment horizontal="right"/>
    </xf>
    <xf numFmtId="10" fontId="11" fillId="5" borderId="22" xfId="0" applyNumberFormat="1" applyFont="1" applyFill="1" applyBorder="1" applyAlignment="1">
      <alignment horizontal="center"/>
    </xf>
    <xf numFmtId="0" fontId="9" fillId="2" borderId="18" xfId="0" applyFont="1" applyFill="1" applyBorder="1"/>
    <xf numFmtId="10" fontId="11" fillId="4" borderId="22" xfId="0" applyNumberFormat="1" applyFont="1" applyFill="1" applyBorder="1" applyAlignment="1">
      <alignment horizontal="center"/>
    </xf>
    <xf numFmtId="0" fontId="9" fillId="2" borderId="38" xfId="0" applyFont="1" applyFill="1" applyBorder="1"/>
    <xf numFmtId="0" fontId="11" fillId="5" borderId="12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/>
    <xf numFmtId="0" fontId="9" fillId="2" borderId="5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9" fillId="2" borderId="3" xfId="0" applyFont="1" applyFill="1" applyBorder="1"/>
    <xf numFmtId="0" fontId="9" fillId="2" borderId="3" xfId="0" applyFont="1" applyFill="1" applyBorder="1"/>
    <xf numFmtId="0" fontId="10" fillId="2" borderId="6" xfId="0" applyFont="1" applyFill="1" applyBorder="1"/>
    <xf numFmtId="0" fontId="9" fillId="2" borderId="6" xfId="0" applyFont="1" applyFill="1" applyBorder="1"/>
    <xf numFmtId="0" fontId="17" fillId="2" borderId="0" xfId="0" applyFont="1" applyFill="1" applyAlignment="1">
      <alignment horizontal="right" vertical="center" wrapText="1"/>
    </xf>
    <xf numFmtId="0" fontId="11" fillId="2" borderId="0" xfId="0" applyFont="1" applyFill="1" applyAlignment="1" applyProtection="1">
      <alignment horizontal="right"/>
      <protection locked="0"/>
    </xf>
    <xf numFmtId="166" fontId="10" fillId="2" borderId="0" xfId="0" applyNumberFormat="1" applyFont="1" applyFill="1" applyAlignment="1" applyProtection="1">
      <alignment horizontal="center"/>
      <protection locked="0"/>
    </xf>
    <xf numFmtId="166" fontId="9" fillId="2" borderId="16" xfId="0" applyNumberFormat="1" applyFont="1" applyFill="1" applyBorder="1" applyAlignment="1">
      <alignment horizontal="center"/>
    </xf>
    <xf numFmtId="166" fontId="9" fillId="2" borderId="18" xfId="0" applyNumberFormat="1" applyFont="1" applyFill="1" applyBorder="1" applyAlignment="1">
      <alignment horizontal="center"/>
    </xf>
    <xf numFmtId="166" fontId="9" fillId="2" borderId="8" xfId="0" applyNumberFormat="1" applyFont="1" applyFill="1" applyBorder="1" applyAlignment="1">
      <alignment horizontal="center"/>
    </xf>
    <xf numFmtId="166" fontId="9" fillId="2" borderId="9" xfId="0" applyNumberFormat="1" applyFont="1" applyFill="1" applyBorder="1" applyAlignment="1">
      <alignment horizontal="center"/>
    </xf>
    <xf numFmtId="166" fontId="9" fillId="2" borderId="10" xfId="0" applyNumberFormat="1" applyFont="1" applyFill="1" applyBorder="1" applyAlignment="1">
      <alignment horizontal="center"/>
    </xf>
    <xf numFmtId="10" fontId="11" fillId="4" borderId="52" xfId="0" applyNumberFormat="1" applyFont="1" applyFill="1" applyBorder="1" applyAlignment="1">
      <alignment horizontal="center"/>
    </xf>
    <xf numFmtId="166" fontId="9" fillId="2" borderId="21" xfId="0" applyNumberFormat="1" applyFont="1" applyFill="1" applyBorder="1" applyAlignment="1">
      <alignment horizontal="center"/>
    </xf>
    <xf numFmtId="166" fontId="9" fillId="2" borderId="26" xfId="0" applyNumberFormat="1" applyFont="1" applyFill="1" applyBorder="1" applyAlignment="1">
      <alignment horizontal="center"/>
    </xf>
    <xf numFmtId="166" fontId="9" fillId="2" borderId="30" xfId="0" applyNumberFormat="1" applyFont="1" applyFill="1" applyBorder="1" applyAlignment="1">
      <alignment horizontal="center"/>
    </xf>
    <xf numFmtId="2" fontId="11" fillId="5" borderId="28" xfId="0" applyNumberFormat="1" applyFont="1" applyFill="1" applyBorder="1" applyAlignment="1">
      <alignment horizontal="center"/>
    </xf>
    <xf numFmtId="2" fontId="11" fillId="5" borderId="22" xfId="0" applyNumberFormat="1" applyFont="1" applyFill="1" applyBorder="1" applyAlignment="1">
      <alignment horizontal="center"/>
    </xf>
    <xf numFmtId="0" fontId="12" fillId="2" borderId="0" xfId="0" applyFont="1" applyFill="1"/>
    <xf numFmtId="0" fontId="9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9" fillId="3" borderId="0" xfId="0" applyFont="1" applyFill="1" applyProtection="1">
      <protection locked="0"/>
    </xf>
    <xf numFmtId="167" fontId="12" fillId="3" borderId="0" xfId="0" applyNumberFormat="1" applyFont="1" applyFill="1" applyAlignment="1" applyProtection="1">
      <alignment horizontal="center"/>
      <protection locked="0"/>
    </xf>
    <xf numFmtId="168" fontId="9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0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center"/>
    </xf>
    <xf numFmtId="0" fontId="14" fillId="2" borderId="0" xfId="0" applyFont="1" applyFill="1"/>
    <xf numFmtId="0" fontId="15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10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0" fillId="2" borderId="0" xfId="0" applyNumberFormat="1" applyFont="1" applyFill="1" applyAlignment="1">
      <alignment horizontal="center"/>
    </xf>
    <xf numFmtId="0" fontId="9" fillId="2" borderId="16" xfId="0" applyFont="1" applyFill="1" applyBorder="1" applyAlignment="1">
      <alignment horizontal="right"/>
    </xf>
    <xf numFmtId="0" fontId="11" fillId="3" borderId="17" xfId="0" applyFont="1" applyFill="1" applyBorder="1" applyAlignment="1" applyProtection="1">
      <alignment horizontal="center"/>
      <protection locked="0"/>
    </xf>
    <xf numFmtId="0" fontId="9" fillId="2" borderId="18" xfId="0" applyFont="1" applyFill="1" applyBorder="1" applyAlignment="1">
      <alignment horizontal="right"/>
    </xf>
    <xf numFmtId="0" fontId="11" fillId="3" borderId="19" xfId="0" applyFont="1" applyFill="1" applyBorder="1" applyAlignment="1" applyProtection="1">
      <alignment horizontal="center"/>
      <protection locked="0"/>
    </xf>
    <xf numFmtId="0" fontId="10" fillId="2" borderId="17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11" fillId="3" borderId="24" xfId="0" applyFont="1" applyFill="1" applyBorder="1" applyAlignment="1" applyProtection="1">
      <alignment horizontal="center"/>
      <protection locked="0"/>
    </xf>
    <xf numFmtId="170" fontId="9" fillId="2" borderId="21" xfId="0" applyNumberFormat="1" applyFont="1" applyFill="1" applyBorder="1" applyAlignment="1">
      <alignment horizontal="center"/>
    </xf>
    <xf numFmtId="170" fontId="9" fillId="2" borderId="25" xfId="0" applyNumberFormat="1" applyFont="1" applyFill="1" applyBorder="1" applyAlignment="1">
      <alignment horizontal="center"/>
    </xf>
    <xf numFmtId="0" fontId="16" fillId="2" borderId="8" xfId="0" applyFont="1" applyFill="1" applyBorder="1"/>
    <xf numFmtId="0" fontId="9" fillId="2" borderId="19" xfId="0" applyFont="1" applyFill="1" applyBorder="1" applyAlignment="1">
      <alignment horizontal="center"/>
    </xf>
    <xf numFmtId="0" fontId="11" fillId="3" borderId="18" xfId="0" applyFont="1" applyFill="1" applyBorder="1" applyAlignment="1" applyProtection="1">
      <alignment horizontal="center"/>
      <protection locked="0"/>
    </xf>
    <xf numFmtId="170" fontId="9" fillId="2" borderId="26" xfId="0" applyNumberFormat="1" applyFont="1" applyFill="1" applyBorder="1" applyAlignment="1">
      <alignment horizontal="center"/>
    </xf>
    <xf numFmtId="170" fontId="9" fillId="2" borderId="27" xfId="0" applyNumberFormat="1" applyFont="1" applyFill="1" applyBorder="1" applyAlignment="1">
      <alignment horizontal="center"/>
    </xf>
    <xf numFmtId="0" fontId="9" fillId="2" borderId="0" xfId="0" applyFont="1" applyFill="1"/>
    <xf numFmtId="0" fontId="9" fillId="2" borderId="28" xfId="0" applyFont="1" applyFill="1" applyBorder="1" applyAlignment="1">
      <alignment horizontal="center"/>
    </xf>
    <xf numFmtId="0" fontId="11" fillId="3" borderId="29" xfId="0" applyFont="1" applyFill="1" applyBorder="1" applyAlignment="1" applyProtection="1">
      <alignment horizontal="center"/>
      <protection locked="0"/>
    </xf>
    <xf numFmtId="170" fontId="9" fillId="2" borderId="30" xfId="0" applyNumberFormat="1" applyFont="1" applyFill="1" applyBorder="1" applyAlignment="1">
      <alignment horizontal="center"/>
    </xf>
    <xf numFmtId="170" fontId="9" fillId="2" borderId="31" xfId="0" applyNumberFormat="1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9" xfId="0" applyFont="1" applyFill="1" applyBorder="1" applyAlignment="1">
      <alignment horizontal="right"/>
    </xf>
    <xf numFmtId="1" fontId="10" fillId="4" borderId="32" xfId="0" applyNumberFormat="1" applyFont="1" applyFill="1" applyBorder="1" applyAlignment="1">
      <alignment horizontal="center"/>
    </xf>
    <xf numFmtId="170" fontId="10" fillId="4" borderId="33" xfId="0" applyNumberFormat="1" applyFont="1" applyFill="1" applyBorder="1" applyAlignment="1">
      <alignment horizontal="center"/>
    </xf>
    <xf numFmtId="170" fontId="10" fillId="4" borderId="3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9" fillId="2" borderId="35" xfId="0" applyFont="1" applyFill="1" applyBorder="1" applyAlignment="1">
      <alignment horizontal="right"/>
    </xf>
    <xf numFmtId="0" fontId="11" fillId="3" borderId="11" xfId="0" applyFont="1" applyFill="1" applyBorder="1" applyAlignment="1" applyProtection="1">
      <alignment horizontal="center"/>
      <protection locked="0"/>
    </xf>
    <xf numFmtId="0" fontId="9" fillId="2" borderId="6" xfId="0" applyFont="1" applyFill="1" applyBorder="1" applyAlignment="1">
      <alignment horizontal="right"/>
    </xf>
    <xf numFmtId="2" fontId="9" fillId="4" borderId="36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9" xfId="0" applyFont="1" applyFill="1" applyBorder="1" applyAlignment="1">
      <alignment horizontal="center"/>
    </xf>
    <xf numFmtId="2" fontId="9" fillId="5" borderId="36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66" fontId="9" fillId="4" borderId="36" xfId="0" applyNumberFormat="1" applyFont="1" applyFill="1" applyBorder="1" applyAlignment="1">
      <alignment horizontal="center"/>
    </xf>
    <xf numFmtId="166" fontId="9" fillId="2" borderId="0" xfId="0" applyNumberFormat="1" applyFont="1" applyFill="1" applyAlignment="1">
      <alignment horizontal="center"/>
    </xf>
    <xf numFmtId="166" fontId="9" fillId="4" borderId="12" xfId="0" applyNumberFormat="1" applyFont="1" applyFill="1" applyBorder="1" applyAlignment="1">
      <alignment horizontal="center"/>
    </xf>
    <xf numFmtId="0" fontId="9" fillId="2" borderId="37" xfId="0" applyFont="1" applyFill="1" applyBorder="1" applyAlignment="1">
      <alignment horizontal="right"/>
    </xf>
    <xf numFmtId="166" fontId="11" fillId="3" borderId="36" xfId="0" applyNumberFormat="1" applyFont="1" applyFill="1" applyBorder="1" applyAlignment="1" applyProtection="1">
      <alignment horizontal="center"/>
      <protection locked="0"/>
    </xf>
    <xf numFmtId="166" fontId="9" fillId="2" borderId="0" xfId="0" applyNumberFormat="1" applyFont="1" applyFill="1"/>
    <xf numFmtId="0" fontId="9" fillId="2" borderId="24" xfId="0" applyFont="1" applyFill="1" applyBorder="1" applyAlignment="1">
      <alignment horizontal="right"/>
    </xf>
    <xf numFmtId="1" fontId="9" fillId="2" borderId="0" xfId="0" applyNumberFormat="1" applyFont="1" applyFill="1" applyAlignment="1">
      <alignment horizontal="center"/>
    </xf>
    <xf numFmtId="0" fontId="9" fillId="2" borderId="10" xfId="0" applyFont="1" applyFill="1" applyBorder="1" applyAlignment="1">
      <alignment horizontal="right"/>
    </xf>
    <xf numFmtId="2" fontId="9" fillId="4" borderId="10" xfId="0" applyNumberFormat="1" applyFont="1" applyFill="1" applyBorder="1" applyAlignment="1">
      <alignment horizontal="center"/>
    </xf>
    <xf numFmtId="170" fontId="10" fillId="5" borderId="8" xfId="0" applyNumberFormat="1" applyFont="1" applyFill="1" applyBorder="1" applyAlignment="1">
      <alignment horizontal="center"/>
    </xf>
    <xf numFmtId="170" fontId="9" fillId="2" borderId="0" xfId="0" applyNumberFormat="1" applyFont="1" applyFill="1" applyAlignment="1">
      <alignment horizontal="center"/>
    </xf>
    <xf numFmtId="10" fontId="9" fillId="4" borderId="36" xfId="0" applyNumberFormat="1" applyFont="1" applyFill="1" applyBorder="1" applyAlignment="1">
      <alignment horizontal="center"/>
    </xf>
    <xf numFmtId="0" fontId="9" fillId="2" borderId="38" xfId="0" applyFont="1" applyFill="1" applyBorder="1" applyAlignment="1">
      <alignment horizontal="right"/>
    </xf>
    <xf numFmtId="0" fontId="9" fillId="5" borderId="10" xfId="0" applyFont="1" applyFill="1" applyBorder="1" applyAlignment="1">
      <alignment horizontal="center"/>
    </xf>
    <xf numFmtId="0" fontId="3" fillId="2" borderId="0" xfId="0" applyFont="1" applyFill="1"/>
    <xf numFmtId="0" fontId="10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71" fontId="11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11" fillId="3" borderId="16" xfId="0" applyFont="1" applyFill="1" applyBorder="1" applyAlignment="1" applyProtection="1">
      <alignment horizontal="center"/>
      <protection locked="0"/>
    </xf>
    <xf numFmtId="10" fontId="9" fillId="2" borderId="8" xfId="0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/>
    </xf>
    <xf numFmtId="10" fontId="9" fillId="2" borderId="9" xfId="0" applyNumberFormat="1" applyFont="1" applyFill="1" applyBorder="1" applyAlignment="1">
      <alignment horizontal="center" vertical="center"/>
    </xf>
    <xf numFmtId="1" fontId="11" fillId="3" borderId="18" xfId="0" applyNumberFormat="1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>
      <alignment horizontal="center"/>
    </xf>
    <xf numFmtId="0" fontId="11" fillId="3" borderId="38" xfId="0" applyFont="1" applyFill="1" applyBorder="1" applyAlignment="1" applyProtection="1">
      <alignment horizontal="center"/>
      <protection locked="0"/>
    </xf>
    <xf numFmtId="10" fontId="9" fillId="2" borderId="17" xfId="0" applyNumberFormat="1" applyFont="1" applyFill="1" applyBorder="1" applyAlignment="1">
      <alignment horizontal="center" vertical="center"/>
    </xf>
    <xf numFmtId="10" fontId="9" fillId="2" borderId="19" xfId="0" applyNumberFormat="1" applyFont="1" applyFill="1" applyBorder="1" applyAlignment="1">
      <alignment horizontal="center" vertical="center"/>
    </xf>
    <xf numFmtId="10" fontId="9" fillId="2" borderId="39" xfId="0" applyNumberFormat="1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/>
    </xf>
    <xf numFmtId="2" fontId="12" fillId="2" borderId="39" xfId="0" applyNumberFormat="1" applyFont="1" applyFill="1" applyBorder="1" applyAlignment="1">
      <alignment horizontal="center"/>
    </xf>
    <xf numFmtId="10" fontId="9" fillId="2" borderId="10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40" xfId="0" applyFont="1" applyFill="1" applyBorder="1" applyAlignment="1">
      <alignment horizontal="right"/>
    </xf>
    <xf numFmtId="10" fontId="11" fillId="5" borderId="28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right"/>
    </xf>
    <xf numFmtId="2" fontId="9" fillId="2" borderId="0" xfId="0" applyNumberFormat="1" applyFont="1" applyFill="1" applyAlignment="1">
      <alignment horizontal="center"/>
    </xf>
    <xf numFmtId="0" fontId="9" fillId="2" borderId="12" xfId="0" applyFont="1" applyFill="1" applyBorder="1" applyAlignment="1">
      <alignment horizontal="right"/>
    </xf>
    <xf numFmtId="0" fontId="11" fillId="5" borderId="41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9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3" borderId="0" xfId="0" applyFont="1" applyFill="1" applyAlignment="1" applyProtection="1">
      <alignment horizontal="center"/>
      <protection locked="0"/>
    </xf>
    <xf numFmtId="0" fontId="10" fillId="2" borderId="42" xfId="0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170" fontId="11" fillId="3" borderId="29" xfId="0" applyNumberFormat="1" applyFont="1" applyFill="1" applyBorder="1" applyAlignment="1" applyProtection="1">
      <alignment horizontal="center"/>
      <protection locked="0"/>
    </xf>
    <xf numFmtId="0" fontId="9" fillId="2" borderId="0" xfId="0" applyFont="1" applyFill="1" applyAlignment="1">
      <alignment horizontal="right"/>
    </xf>
    <xf numFmtId="1" fontId="10" fillId="4" borderId="44" xfId="0" applyNumberFormat="1" applyFont="1" applyFill="1" applyBorder="1" applyAlignment="1">
      <alignment horizontal="center"/>
    </xf>
    <xf numFmtId="1" fontId="10" fillId="4" borderId="45" xfId="0" applyNumberFormat="1" applyFont="1" applyFill="1" applyBorder="1" applyAlignment="1">
      <alignment horizontal="center"/>
    </xf>
    <xf numFmtId="170" fontId="10" fillId="4" borderId="10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right"/>
    </xf>
    <xf numFmtId="0" fontId="11" fillId="3" borderId="47" xfId="0" applyFont="1" applyFill="1" applyBorder="1" applyAlignment="1" applyProtection="1">
      <alignment horizontal="center"/>
      <protection locked="0"/>
    </xf>
    <xf numFmtId="0" fontId="9" fillId="2" borderId="20" xfId="0" applyFont="1" applyFill="1" applyBorder="1" applyAlignment="1">
      <alignment horizontal="right"/>
    </xf>
    <xf numFmtId="2" fontId="9" fillId="4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2" fontId="9" fillId="5" borderId="22" xfId="0" applyNumberFormat="1" applyFont="1" applyFill="1" applyBorder="1" applyAlignment="1">
      <alignment horizontal="center"/>
    </xf>
    <xf numFmtId="166" fontId="9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9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48" xfId="0" applyFont="1" applyFill="1" applyBorder="1" applyAlignment="1">
      <alignment horizontal="right"/>
    </xf>
    <xf numFmtId="2" fontId="9" fillId="5" borderId="25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wrapText="1"/>
    </xf>
    <xf numFmtId="0" fontId="9" fillId="2" borderId="11" xfId="0" applyFont="1" applyFill="1" applyBorder="1" applyAlignment="1">
      <alignment horizontal="right"/>
    </xf>
    <xf numFmtId="170" fontId="10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0" fontId="10" fillId="2" borderId="50" xfId="0" applyFont="1" applyFill="1" applyBorder="1" applyAlignment="1">
      <alignment horizontal="center"/>
    </xf>
    <xf numFmtId="0" fontId="10" fillId="2" borderId="17" xfId="0" applyFont="1" applyFill="1" applyBorder="1" applyAlignment="1">
      <alignment horizontal="center" wrapText="1"/>
    </xf>
    <xf numFmtId="0" fontId="9" fillId="2" borderId="18" xfId="0" applyFont="1" applyFill="1" applyBorder="1" applyAlignment="1">
      <alignment horizontal="center"/>
    </xf>
    <xf numFmtId="1" fontId="11" fillId="3" borderId="26" xfId="0" applyNumberFormat="1" applyFont="1" applyFill="1" applyBorder="1" applyAlignment="1" applyProtection="1">
      <alignment horizontal="center"/>
      <protection locked="0"/>
    </xf>
    <xf numFmtId="10" fontId="9" fillId="2" borderId="25" xfId="0" applyNumberFormat="1" applyFont="1" applyFill="1" applyBorder="1" applyAlignment="1">
      <alignment horizontal="center"/>
    </xf>
    <xf numFmtId="10" fontId="9" fillId="2" borderId="27" xfId="0" applyNumberFormat="1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1" fontId="11" fillId="3" borderId="30" xfId="0" applyNumberFormat="1" applyFont="1" applyFill="1" applyBorder="1" applyAlignment="1" applyProtection="1">
      <alignment horizontal="center"/>
      <protection locked="0"/>
    </xf>
    <xf numFmtId="10" fontId="9" fillId="2" borderId="31" xfId="0" applyNumberFormat="1" applyFont="1" applyFill="1" applyBorder="1" applyAlignment="1">
      <alignment horizontal="center"/>
    </xf>
    <xf numFmtId="2" fontId="9" fillId="2" borderId="19" xfId="0" applyNumberFormat="1" applyFont="1" applyFill="1" applyBorder="1" applyAlignment="1">
      <alignment horizontal="center"/>
    </xf>
    <xf numFmtId="170" fontId="9" fillId="2" borderId="2" xfId="0" applyNumberFormat="1" applyFont="1" applyFill="1" applyBorder="1" applyAlignment="1">
      <alignment horizontal="right"/>
    </xf>
    <xf numFmtId="10" fontId="11" fillId="5" borderId="22" xfId="0" applyNumberFormat="1" applyFont="1" applyFill="1" applyBorder="1" applyAlignment="1">
      <alignment horizontal="center"/>
    </xf>
    <xf numFmtId="0" fontId="9" fillId="2" borderId="18" xfId="0" applyFont="1" applyFill="1" applyBorder="1"/>
    <xf numFmtId="10" fontId="11" fillId="4" borderId="22" xfId="0" applyNumberFormat="1" applyFont="1" applyFill="1" applyBorder="1" applyAlignment="1">
      <alignment horizontal="center"/>
    </xf>
    <xf numFmtId="0" fontId="9" fillId="2" borderId="38" xfId="0" applyFont="1" applyFill="1" applyBorder="1"/>
    <xf numFmtId="0" fontId="9" fillId="2" borderId="51" xfId="0" applyFont="1" applyFill="1" applyBorder="1" applyAlignment="1">
      <alignment horizontal="right"/>
    </xf>
    <xf numFmtId="0" fontId="11" fillId="5" borderId="12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/>
    <xf numFmtId="0" fontId="9" fillId="2" borderId="5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9" fillId="2" borderId="3" xfId="0" applyFont="1" applyFill="1" applyBorder="1"/>
    <xf numFmtId="0" fontId="9" fillId="2" borderId="3" xfId="0" applyFont="1" applyFill="1" applyBorder="1"/>
    <xf numFmtId="0" fontId="10" fillId="2" borderId="6" xfId="0" applyFont="1" applyFill="1" applyBorder="1"/>
    <xf numFmtId="0" fontId="9" fillId="2" borderId="6" xfId="0" applyFont="1" applyFill="1" applyBorder="1"/>
    <xf numFmtId="0" fontId="17" fillId="2" borderId="0" xfId="0" applyFont="1" applyFill="1" applyAlignment="1">
      <alignment horizontal="right" vertical="center" wrapText="1"/>
    </xf>
    <xf numFmtId="0" fontId="11" fillId="2" borderId="0" xfId="0" applyFont="1" applyFill="1" applyAlignment="1" applyProtection="1">
      <alignment horizontal="right"/>
      <protection locked="0"/>
    </xf>
    <xf numFmtId="166" fontId="9" fillId="2" borderId="16" xfId="0" applyNumberFormat="1" applyFont="1" applyFill="1" applyBorder="1" applyAlignment="1">
      <alignment horizontal="center"/>
    </xf>
    <xf numFmtId="166" fontId="9" fillId="2" borderId="18" xfId="0" applyNumberFormat="1" applyFont="1" applyFill="1" applyBorder="1" applyAlignment="1">
      <alignment horizontal="center"/>
    </xf>
    <xf numFmtId="166" fontId="9" fillId="2" borderId="8" xfId="0" applyNumberFormat="1" applyFont="1" applyFill="1" applyBorder="1" applyAlignment="1">
      <alignment horizontal="center"/>
    </xf>
    <xf numFmtId="166" fontId="9" fillId="2" borderId="9" xfId="0" applyNumberFormat="1" applyFont="1" applyFill="1" applyBorder="1" applyAlignment="1">
      <alignment horizontal="center"/>
    </xf>
    <xf numFmtId="166" fontId="9" fillId="2" borderId="10" xfId="0" applyNumberFormat="1" applyFont="1" applyFill="1" applyBorder="1" applyAlignment="1">
      <alignment horizontal="center"/>
    </xf>
    <xf numFmtId="10" fontId="11" fillId="4" borderId="52" xfId="0" applyNumberFormat="1" applyFont="1" applyFill="1" applyBorder="1" applyAlignment="1">
      <alignment horizontal="center"/>
    </xf>
    <xf numFmtId="166" fontId="9" fillId="2" borderId="21" xfId="0" applyNumberFormat="1" applyFont="1" applyFill="1" applyBorder="1" applyAlignment="1">
      <alignment horizontal="center"/>
    </xf>
    <xf numFmtId="166" fontId="9" fillId="2" borderId="26" xfId="0" applyNumberFormat="1" applyFont="1" applyFill="1" applyBorder="1" applyAlignment="1">
      <alignment horizontal="center"/>
    </xf>
    <xf numFmtId="166" fontId="9" fillId="2" borderId="30" xfId="0" applyNumberFormat="1" applyFont="1" applyFill="1" applyBorder="1" applyAlignment="1">
      <alignment horizontal="center"/>
    </xf>
    <xf numFmtId="2" fontId="11" fillId="5" borderId="28" xfId="0" applyNumberFormat="1" applyFont="1" applyFill="1" applyBorder="1" applyAlignment="1">
      <alignment horizontal="center"/>
    </xf>
    <xf numFmtId="2" fontId="11" fillId="5" borderId="22" xfId="0" applyNumberFormat="1" applyFont="1" applyFill="1" applyBorder="1" applyAlignment="1">
      <alignment horizontal="center"/>
    </xf>
    <xf numFmtId="0" fontId="12" fillId="2" borderId="0" xfId="0" applyFont="1" applyFill="1"/>
    <xf numFmtId="0" fontId="24" fillId="2" borderId="0" xfId="1" applyFill="1"/>
    <xf numFmtId="0" fontId="25" fillId="2" borderId="0" xfId="1" applyFont="1" applyFill="1"/>
    <xf numFmtId="0" fontId="26" fillId="2" borderId="0" xfId="1" applyFont="1" applyFill="1" applyAlignment="1">
      <alignment horizontal="right"/>
    </xf>
    <xf numFmtId="0" fontId="25" fillId="2" borderId="3" xfId="1" applyFont="1" applyFill="1" applyBorder="1"/>
    <xf numFmtId="0" fontId="26" fillId="2" borderId="5" xfId="1" applyFont="1" applyFill="1" applyBorder="1" applyAlignment="1">
      <alignment horizontal="center"/>
    </xf>
    <xf numFmtId="10" fontId="25" fillId="2" borderId="4" xfId="1" applyNumberFormat="1" applyFont="1" applyFill="1" applyBorder="1"/>
    <xf numFmtId="0" fontId="25" fillId="2" borderId="0" xfId="1" applyFont="1" applyFill="1" applyAlignment="1">
      <alignment horizontal="center"/>
    </xf>
    <xf numFmtId="0" fontId="25" fillId="2" borderId="4" xfId="1" applyFont="1" applyFill="1" applyBorder="1"/>
    <xf numFmtId="0" fontId="27" fillId="2" borderId="0" xfId="1" applyFont="1" applyFill="1" applyProtection="1">
      <protection locked="0"/>
    </xf>
    <xf numFmtId="0" fontId="27" fillId="2" borderId="0" xfId="1" applyFont="1" applyFill="1" applyAlignment="1" applyProtection="1">
      <alignment horizontal="left"/>
      <protection locked="0"/>
    </xf>
    <xf numFmtId="0" fontId="28" fillId="2" borderId="0" xfId="1" applyFont="1" applyFill="1"/>
    <xf numFmtId="0" fontId="27" fillId="2" borderId="0" xfId="1" applyFont="1" applyFill="1"/>
    <xf numFmtId="0" fontId="27" fillId="2" borderId="54" xfId="1" applyFont="1" applyFill="1" applyBorder="1"/>
    <xf numFmtId="0" fontId="27" fillId="2" borderId="3" xfId="1" applyFont="1" applyFill="1" applyBorder="1"/>
    <xf numFmtId="0" fontId="28" fillId="2" borderId="3" xfId="1" applyFont="1" applyFill="1" applyBorder="1" applyAlignment="1">
      <alignment horizontal="center"/>
    </xf>
    <xf numFmtId="0" fontId="28" fillId="6" borderId="1" xfId="1" applyFont="1" applyFill="1" applyBorder="1" applyAlignment="1">
      <alignment horizontal="center"/>
    </xf>
    <xf numFmtId="0" fontId="27" fillId="2" borderId="55" xfId="1" applyFont="1" applyFill="1" applyBorder="1"/>
    <xf numFmtId="0" fontId="27" fillId="2" borderId="56" xfId="1" applyFont="1" applyFill="1" applyBorder="1"/>
    <xf numFmtId="165" fontId="28" fillId="2" borderId="0" xfId="1" applyNumberFormat="1" applyFont="1" applyFill="1" applyAlignment="1">
      <alignment horizontal="center"/>
    </xf>
    <xf numFmtId="10" fontId="28" fillId="7" borderId="1" xfId="1" applyNumberFormat="1" applyFont="1" applyFill="1" applyBorder="1" applyAlignment="1">
      <alignment horizontal="center"/>
    </xf>
    <xf numFmtId="0" fontId="27" fillId="2" borderId="57" xfId="1" applyFont="1" applyFill="1" applyBorder="1"/>
    <xf numFmtId="2" fontId="28" fillId="6" borderId="1" xfId="1" applyNumberFormat="1" applyFont="1" applyFill="1" applyBorder="1" applyAlignment="1">
      <alignment horizontal="center"/>
    </xf>
    <xf numFmtId="1" fontId="28" fillId="6" borderId="1" xfId="1" applyNumberFormat="1" applyFont="1" applyFill="1" applyBorder="1" applyAlignment="1">
      <alignment horizontal="center"/>
    </xf>
    <xf numFmtId="1" fontId="28" fillId="6" borderId="2" xfId="1" applyNumberFormat="1" applyFont="1" applyFill="1" applyBorder="1" applyAlignment="1">
      <alignment horizontal="center"/>
    </xf>
    <xf numFmtId="0" fontId="27" fillId="2" borderId="58" xfId="1" applyFont="1" applyFill="1" applyBorder="1"/>
    <xf numFmtId="0" fontId="29" fillId="3" borderId="55" xfId="1" applyFont="1" applyFill="1" applyBorder="1" applyAlignment="1" applyProtection="1">
      <alignment horizontal="center"/>
      <protection locked="0"/>
    </xf>
    <xf numFmtId="0" fontId="27" fillId="2" borderId="57" xfId="1" applyFont="1" applyFill="1" applyBorder="1" applyAlignment="1">
      <alignment horizontal="center"/>
    </xf>
    <xf numFmtId="0" fontId="29" fillId="3" borderId="57" xfId="1" applyFont="1" applyFill="1" applyBorder="1" applyAlignment="1" applyProtection="1">
      <alignment horizontal="center"/>
      <protection locked="0"/>
    </xf>
    <xf numFmtId="0" fontId="28" fillId="2" borderId="1" xfId="1" applyFont="1" applyFill="1" applyBorder="1" applyAlignment="1">
      <alignment horizontal="center"/>
    </xf>
    <xf numFmtId="0" fontId="28" fillId="2" borderId="2" xfId="1" applyFont="1" applyFill="1" applyBorder="1" applyAlignment="1">
      <alignment horizontal="center"/>
    </xf>
    <xf numFmtId="164" fontId="28" fillId="2" borderId="0" xfId="1" applyNumberFormat="1" applyFont="1" applyFill="1" applyAlignment="1">
      <alignment horizontal="center"/>
    </xf>
    <xf numFmtId="0" fontId="28" fillId="2" borderId="0" xfId="1" applyFont="1" applyFill="1" applyAlignment="1">
      <alignment horizontal="left"/>
    </xf>
    <xf numFmtId="2" fontId="28" fillId="2" borderId="0" xfId="1" applyNumberFormat="1" applyFont="1" applyFill="1" applyAlignment="1">
      <alignment horizontal="center"/>
    </xf>
    <xf numFmtId="0" fontId="30" fillId="2" borderId="0" xfId="1" applyFont="1" applyFill="1"/>
    <xf numFmtId="22" fontId="27" fillId="2" borderId="0" xfId="1" applyNumberFormat="1" applyFont="1" applyFill="1"/>
    <xf numFmtId="0" fontId="26" fillId="2" borderId="0" xfId="1" applyFont="1" applyFill="1" applyAlignment="1">
      <alignment horizontal="center"/>
    </xf>
    <xf numFmtId="0" fontId="28" fillId="2" borderId="0" xfId="1" applyFont="1" applyFill="1" applyAlignment="1">
      <alignment horizontal="center"/>
    </xf>
    <xf numFmtId="0" fontId="25" fillId="2" borderId="0" xfId="1" applyFont="1" applyFill="1" applyAlignment="1">
      <alignment horizontal="right"/>
    </xf>
    <xf numFmtId="0" fontId="26" fillId="2" borderId="0" xfId="1" applyFont="1" applyFill="1"/>
    <xf numFmtId="0" fontId="5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vertical="center" wrapText="1"/>
    </xf>
    <xf numFmtId="0" fontId="16" fillId="2" borderId="0" xfId="0" applyFont="1" applyFill="1" applyBorder="1"/>
    <xf numFmtId="0" fontId="0" fillId="2" borderId="0" xfId="0" applyFill="1" applyBorder="1"/>
    <xf numFmtId="0" fontId="2" fillId="2" borderId="0" xfId="0" applyFont="1" applyFill="1" applyBorder="1"/>
    <xf numFmtId="0" fontId="2" fillId="2" borderId="0" xfId="1" applyFont="1" applyFill="1"/>
    <xf numFmtId="0" fontId="2" fillId="2" borderId="0" xfId="1" applyFont="1" applyFill="1" applyAlignment="1">
      <alignment horizontal="center"/>
    </xf>
    <xf numFmtId="10" fontId="2" fillId="2" borderId="0" xfId="1" applyNumberFormat="1" applyFont="1" applyFill="1"/>
    <xf numFmtId="164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1" fillId="2" borderId="0" xfId="1" applyFont="1" applyFill="1"/>
    <xf numFmtId="2" fontId="2" fillId="2" borderId="0" xfId="1" applyNumberFormat="1" applyFont="1" applyFill="1" applyAlignment="1">
      <alignment horizontal="center"/>
    </xf>
    <xf numFmtId="0" fontId="8" fillId="2" borderId="0" xfId="1" applyFont="1" applyFill="1" applyAlignment="1">
      <alignment horizontal="center" wrapText="1"/>
    </xf>
    <xf numFmtId="0" fontId="6" fillId="2" borderId="0" xfId="1" applyFont="1" applyFill="1" applyBorder="1"/>
    <xf numFmtId="0" fontId="2" fillId="2" borderId="0" xfId="1" applyFont="1" applyFill="1" applyAlignment="1">
      <alignment horizontal="left"/>
    </xf>
    <xf numFmtId="0" fontId="2" fillId="2" borderId="0" xfId="1" applyFont="1" applyFill="1" applyAlignment="1">
      <alignment horizontal="left" wrapText="1"/>
    </xf>
    <xf numFmtId="167" fontId="2" fillId="2" borderId="0" xfId="1" applyNumberFormat="1" applyFont="1" applyFill="1" applyAlignment="1">
      <alignment horizontal="center"/>
    </xf>
    <xf numFmtId="2" fontId="29" fillId="2" borderId="0" xfId="1" applyNumberFormat="1" applyFont="1" applyFill="1" applyBorder="1" applyAlignment="1" applyProtection="1">
      <alignment horizontal="center"/>
      <protection locked="0"/>
    </xf>
    <xf numFmtId="0" fontId="2" fillId="2" borderId="0" xfId="1" applyFont="1" applyFill="1" applyBorder="1"/>
    <xf numFmtId="0" fontId="33" fillId="2" borderId="0" xfId="1" applyFont="1" applyFill="1" applyAlignment="1">
      <alignment horizontal="left"/>
    </xf>
    <xf numFmtId="164" fontId="1" fillId="2" borderId="8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 wrapText="1"/>
    </xf>
    <xf numFmtId="0" fontId="2" fillId="2" borderId="59" xfId="1" applyFont="1" applyFill="1" applyBorder="1" applyAlignment="1">
      <alignment horizontal="center"/>
    </xf>
    <xf numFmtId="0" fontId="2" fillId="2" borderId="61" xfId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66" fontId="7" fillId="2" borderId="0" xfId="1" applyNumberFormat="1" applyFont="1" applyFill="1" applyAlignment="1">
      <alignment horizontal="center"/>
    </xf>
    <xf numFmtId="10" fontId="7" fillId="2" borderId="0" xfId="1" applyNumberFormat="1" applyFont="1" applyFill="1" applyAlignment="1">
      <alignment horizontal="center"/>
    </xf>
    <xf numFmtId="164" fontId="7" fillId="2" borderId="0" xfId="1" applyNumberFormat="1" applyFont="1" applyFill="1" applyAlignment="1">
      <alignment horizontal="center"/>
    </xf>
    <xf numFmtId="2" fontId="24" fillId="2" borderId="0" xfId="1" applyNumberFormat="1" applyFill="1" applyAlignment="1">
      <alignment horizontal="center"/>
    </xf>
    <xf numFmtId="164" fontId="24" fillId="2" borderId="0" xfId="1" applyNumberFormat="1" applyFill="1"/>
    <xf numFmtId="10" fontId="24" fillId="2" borderId="0" xfId="1" applyNumberFormat="1" applyFill="1"/>
    <xf numFmtId="2" fontId="24" fillId="2" borderId="0" xfId="1" applyNumberFormat="1" applyFill="1"/>
    <xf numFmtId="0" fontId="24" fillId="2" borderId="0" xfId="1" applyFill="1" applyAlignment="1">
      <alignment horizontal="right"/>
    </xf>
    <xf numFmtId="1" fontId="2" fillId="2" borderId="62" xfId="1" applyNumberFormat="1" applyFont="1" applyFill="1" applyBorder="1" applyAlignment="1">
      <alignment horizontal="center"/>
    </xf>
    <xf numFmtId="10" fontId="2" fillId="2" borderId="0" xfId="1" applyNumberFormat="1" applyFont="1" applyFill="1" applyBorder="1" applyAlignment="1">
      <alignment horizontal="center"/>
    </xf>
    <xf numFmtId="164" fontId="2" fillId="2" borderId="0" xfId="1" applyNumberFormat="1" applyFont="1" applyFill="1"/>
    <xf numFmtId="0" fontId="1" fillId="2" borderId="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3" xfId="1" applyFont="1" applyFill="1" applyBorder="1"/>
    <xf numFmtId="0" fontId="1" fillId="2" borderId="0" xfId="1" applyFont="1" applyFill="1" applyBorder="1"/>
    <xf numFmtId="0" fontId="2" fillId="2" borderId="0" xfId="1" applyFont="1" applyFill="1" applyBorder="1" applyAlignment="1">
      <alignment horizontal="right"/>
    </xf>
    <xf numFmtId="0" fontId="2" fillId="2" borderId="63" xfId="1" applyFont="1" applyFill="1" applyBorder="1" applyAlignment="1">
      <alignment horizontal="center"/>
    </xf>
    <xf numFmtId="0" fontId="2" fillId="2" borderId="64" xfId="1" applyFont="1" applyFill="1" applyBorder="1" applyAlignment="1">
      <alignment horizontal="center"/>
    </xf>
    <xf numFmtId="10" fontId="2" fillId="2" borderId="0" xfId="1" applyNumberFormat="1" applyFont="1" applyFill="1" applyBorder="1"/>
    <xf numFmtId="0" fontId="1" fillId="2" borderId="68" xfId="1" applyFont="1" applyFill="1" applyBorder="1" applyAlignment="1">
      <alignment horizontal="center" vertical="center"/>
    </xf>
    <xf numFmtId="0" fontId="1" fillId="2" borderId="69" xfId="1" applyFont="1" applyFill="1" applyBorder="1" applyAlignment="1">
      <alignment horizontal="center" wrapText="1"/>
    </xf>
    <xf numFmtId="165" fontId="5" fillId="2" borderId="71" xfId="0" applyNumberFormat="1" applyFont="1" applyFill="1" applyBorder="1" applyAlignment="1">
      <alignment horizontal="center"/>
    </xf>
    <xf numFmtId="165" fontId="5" fillId="2" borderId="67" xfId="0" applyNumberFormat="1" applyFont="1" applyFill="1" applyBorder="1" applyAlignment="1">
      <alignment horizontal="center"/>
    </xf>
    <xf numFmtId="2" fontId="5" fillId="2" borderId="73" xfId="0" applyNumberFormat="1" applyFont="1" applyFill="1" applyBorder="1" applyAlignment="1">
      <alignment horizontal="center" vertical="center"/>
    </xf>
    <xf numFmtId="2" fontId="5" fillId="2" borderId="65" xfId="0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/>
    </xf>
    <xf numFmtId="2" fontId="29" fillId="2" borderId="74" xfId="1" applyNumberFormat="1" applyFont="1" applyFill="1" applyBorder="1" applyAlignment="1" applyProtection="1">
      <alignment horizontal="center"/>
      <protection locked="0"/>
    </xf>
    <xf numFmtId="0" fontId="2" fillId="2" borderId="74" xfId="1" applyFont="1" applyFill="1" applyBorder="1" applyAlignment="1">
      <alignment horizontal="right"/>
    </xf>
    <xf numFmtId="0" fontId="6" fillId="2" borderId="74" xfId="1" applyFont="1" applyFill="1" applyBorder="1"/>
    <xf numFmtId="0" fontId="1" fillId="2" borderId="74" xfId="1" applyFont="1" applyFill="1" applyBorder="1"/>
    <xf numFmtId="2" fontId="2" fillId="3" borderId="75" xfId="1" applyNumberFormat="1" applyFont="1" applyFill="1" applyBorder="1" applyAlignment="1" applyProtection="1">
      <alignment horizontal="center"/>
      <protection locked="0"/>
    </xf>
    <xf numFmtId="2" fontId="2" fillId="3" borderId="6" xfId="1" applyNumberFormat="1" applyFont="1" applyFill="1" applyBorder="1" applyAlignment="1" applyProtection="1">
      <alignment horizontal="center"/>
      <protection locked="0"/>
    </xf>
    <xf numFmtId="2" fontId="2" fillId="3" borderId="6" xfId="1" applyNumberFormat="1" applyFont="1" applyFill="1" applyBorder="1" applyAlignment="1" applyProtection="1">
      <alignment horizontal="center" wrapText="1"/>
      <protection locked="0"/>
    </xf>
    <xf numFmtId="2" fontId="2" fillId="3" borderId="76" xfId="1" applyNumberFormat="1" applyFont="1" applyFill="1" applyBorder="1" applyAlignment="1" applyProtection="1">
      <alignment horizontal="center" wrapText="1"/>
      <protection locked="0"/>
    </xf>
    <xf numFmtId="164" fontId="1" fillId="2" borderId="5" xfId="1" applyNumberFormat="1" applyFont="1" applyFill="1" applyBorder="1" applyAlignment="1">
      <alignment horizontal="center"/>
    </xf>
    <xf numFmtId="0" fontId="1" fillId="2" borderId="77" xfId="1" applyFont="1" applyFill="1" applyBorder="1" applyAlignment="1">
      <alignment horizontal="center"/>
    </xf>
    <xf numFmtId="10" fontId="2" fillId="2" borderId="78" xfId="0" applyNumberFormat="1" applyFont="1" applyFill="1" applyBorder="1" applyAlignment="1">
      <alignment horizontal="center"/>
    </xf>
    <xf numFmtId="10" fontId="2" fillId="2" borderId="79" xfId="0" applyNumberFormat="1" applyFont="1" applyFill="1" applyBorder="1" applyAlignment="1">
      <alignment horizontal="center"/>
    </xf>
    <xf numFmtId="0" fontId="30" fillId="2" borderId="0" xfId="1" applyFont="1" applyFill="1" applyAlignment="1">
      <alignment horizontal="center"/>
    </xf>
    <xf numFmtId="172" fontId="29" fillId="3" borderId="57" xfId="1" applyNumberFormat="1" applyFont="1" applyFill="1" applyBorder="1" applyAlignment="1" applyProtection="1">
      <alignment horizontal="center"/>
      <protection locked="0"/>
    </xf>
    <xf numFmtId="172" fontId="29" fillId="3" borderId="58" xfId="1" applyNumberFormat="1" applyFont="1" applyFill="1" applyBorder="1" applyAlignment="1" applyProtection="1">
      <alignment horizontal="center"/>
      <protection locked="0"/>
    </xf>
    <xf numFmtId="172" fontId="29" fillId="3" borderId="55" xfId="1" applyNumberFormat="1" applyFont="1" applyFill="1" applyBorder="1" applyAlignment="1" applyProtection="1">
      <alignment horizontal="center"/>
      <protection locked="0"/>
    </xf>
    <xf numFmtId="173" fontId="29" fillId="3" borderId="57" xfId="1" applyNumberFormat="1" applyFont="1" applyFill="1" applyBorder="1" applyAlignment="1" applyProtection="1">
      <alignment horizontal="center"/>
      <protection locked="0"/>
    </xf>
    <xf numFmtId="173" fontId="29" fillId="3" borderId="55" xfId="1" applyNumberFormat="1" applyFont="1" applyFill="1" applyBorder="1" applyAlignment="1" applyProtection="1">
      <alignment horizontal="center"/>
      <protection locked="0"/>
    </xf>
    <xf numFmtId="3" fontId="29" fillId="3" borderId="57" xfId="1" applyNumberFormat="1" applyFont="1" applyFill="1" applyBorder="1" applyAlignment="1" applyProtection="1">
      <alignment horizontal="center"/>
      <protection locked="0"/>
    </xf>
    <xf numFmtId="3" fontId="29" fillId="3" borderId="55" xfId="1" applyNumberFormat="1" applyFont="1" applyFill="1" applyBorder="1" applyAlignment="1" applyProtection="1">
      <alignment horizontal="center"/>
      <protection locked="0"/>
    </xf>
    <xf numFmtId="0" fontId="11" fillId="3" borderId="0" xfId="0" applyFont="1" applyFill="1" applyAlignment="1" applyProtection="1">
      <protection locked="0"/>
    </xf>
    <xf numFmtId="0" fontId="12" fillId="3" borderId="0" xfId="0" applyFont="1" applyFill="1" applyAlignment="1" applyProtection="1">
      <protection locked="0"/>
    </xf>
    <xf numFmtId="0" fontId="11" fillId="3" borderId="0" xfId="0" applyFont="1" applyFill="1" applyAlignment="1" applyProtection="1">
      <alignment wrapText="1"/>
      <protection locked="0"/>
    </xf>
    <xf numFmtId="0" fontId="23" fillId="3" borderId="0" xfId="0" applyFont="1" applyFill="1" applyAlignment="1" applyProtection="1">
      <alignment horizontal="center" wrapText="1"/>
      <protection locked="0"/>
    </xf>
    <xf numFmtId="0" fontId="22" fillId="3" borderId="0" xfId="0" applyFont="1" applyFill="1" applyAlignment="1" applyProtection="1">
      <alignment horizontal="center"/>
      <protection locked="0"/>
    </xf>
    <xf numFmtId="2" fontId="11" fillId="3" borderId="11" xfId="0" applyNumberFormat="1" applyFont="1" applyFill="1" applyBorder="1" applyAlignment="1" applyProtection="1">
      <alignment horizontal="center"/>
      <protection locked="0"/>
    </xf>
    <xf numFmtId="0" fontId="13" fillId="2" borderId="0" xfId="0" applyFont="1" applyFill="1" applyBorder="1" applyAlignment="1">
      <alignment vertical="center" wrapText="1"/>
    </xf>
    <xf numFmtId="9" fontId="2" fillId="2" borderId="0" xfId="2" applyFont="1" applyFill="1"/>
    <xf numFmtId="10" fontId="2" fillId="2" borderId="0" xfId="2" applyNumberFormat="1" applyFont="1" applyFill="1"/>
    <xf numFmtId="0" fontId="9" fillId="2" borderId="0" xfId="0" applyFont="1" applyFill="1" applyBorder="1"/>
    <xf numFmtId="0" fontId="2" fillId="2" borderId="0" xfId="0" applyFont="1" applyFill="1" applyAlignment="1">
      <alignment wrapText="1"/>
    </xf>
    <xf numFmtId="166" fontId="9" fillId="2" borderId="0" xfId="0" applyNumberFormat="1" applyFont="1" applyFill="1" applyBorder="1" applyAlignment="1">
      <alignment horizontal="center"/>
    </xf>
    <xf numFmtId="10" fontId="9" fillId="2" borderId="0" xfId="2" applyNumberFormat="1" applyFont="1" applyFill="1" applyBorder="1" applyAlignment="1">
      <alignment horizontal="center"/>
    </xf>
    <xf numFmtId="0" fontId="5" fillId="2" borderId="80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16" fillId="2" borderId="17" xfId="0" applyFont="1" applyFill="1" applyBorder="1"/>
    <xf numFmtId="0" fontId="11" fillId="3" borderId="40" xfId="0" applyFont="1" applyFill="1" applyBorder="1" applyAlignment="1" applyProtection="1">
      <alignment horizontal="center"/>
      <protection locked="0"/>
    </xf>
    <xf numFmtId="0" fontId="10" fillId="2" borderId="81" xfId="0" applyFont="1" applyFill="1" applyBorder="1" applyAlignment="1">
      <alignment horizontal="center"/>
    </xf>
    <xf numFmtId="0" fontId="10" fillId="2" borderId="82" xfId="0" applyFont="1" applyFill="1" applyBorder="1" applyAlignment="1">
      <alignment horizontal="center"/>
    </xf>
    <xf numFmtId="0" fontId="11" fillId="3" borderId="83" xfId="0" applyFont="1" applyFill="1" applyBorder="1" applyAlignment="1" applyProtection="1">
      <alignment horizontal="center"/>
      <protection locked="0"/>
    </xf>
    <xf numFmtId="170" fontId="9" fillId="2" borderId="84" xfId="0" applyNumberFormat="1" applyFont="1" applyFill="1" applyBorder="1" applyAlignment="1">
      <alignment horizontal="center"/>
    </xf>
    <xf numFmtId="0" fontId="11" fillId="3" borderId="85" xfId="0" applyFont="1" applyFill="1" applyBorder="1" applyAlignment="1" applyProtection="1">
      <alignment horizontal="center"/>
      <protection locked="0"/>
    </xf>
    <xf numFmtId="170" fontId="9" fillId="2" borderId="86" xfId="0" applyNumberFormat="1" applyFont="1" applyFill="1" applyBorder="1" applyAlignment="1">
      <alignment horizontal="center"/>
    </xf>
    <xf numFmtId="0" fontId="11" fillId="3" borderId="87" xfId="0" applyFont="1" applyFill="1" applyBorder="1" applyAlignment="1" applyProtection="1">
      <alignment horizontal="center"/>
      <protection locked="0"/>
    </xf>
    <xf numFmtId="170" fontId="9" fillId="2" borderId="88" xfId="0" applyNumberFormat="1" applyFont="1" applyFill="1" applyBorder="1" applyAlignment="1">
      <alignment horizontal="center"/>
    </xf>
    <xf numFmtId="1" fontId="10" fillId="4" borderId="89" xfId="0" applyNumberFormat="1" applyFont="1" applyFill="1" applyBorder="1" applyAlignment="1">
      <alignment horizontal="center"/>
    </xf>
    <xf numFmtId="170" fontId="10" fillId="4" borderId="90" xfId="0" applyNumberFormat="1" applyFont="1" applyFill="1" applyBorder="1" applyAlignment="1">
      <alignment horizontal="center"/>
    </xf>
    <xf numFmtId="0" fontId="11" fillId="3" borderId="0" xfId="0" applyFont="1" applyFill="1" applyAlignment="1" applyProtection="1">
      <alignment horizontal="center" wrapText="1"/>
      <protection locked="0"/>
    </xf>
    <xf numFmtId="10" fontId="9" fillId="2" borderId="0" xfId="2" applyNumberFormat="1" applyFont="1" applyFill="1" applyAlignment="1">
      <alignment horizontal="center"/>
    </xf>
    <xf numFmtId="2" fontId="5" fillId="2" borderId="0" xfId="1" applyNumberFormat="1" applyFont="1" applyFill="1" applyAlignment="1">
      <alignment horizontal="center"/>
    </xf>
    <xf numFmtId="2" fontId="5" fillId="2" borderId="0" xfId="1" applyNumberFormat="1" applyFont="1" applyFill="1" applyAlignment="1">
      <alignment horizontal="left"/>
    </xf>
    <xf numFmtId="0" fontId="25" fillId="2" borderId="0" xfId="1" applyFont="1" applyFill="1" applyBorder="1"/>
    <xf numFmtId="0" fontId="26" fillId="2" borderId="3" xfId="1" applyFont="1" applyFill="1" applyBorder="1"/>
    <xf numFmtId="0" fontId="25" fillId="2" borderId="91" xfId="1" applyFont="1" applyFill="1" applyBorder="1"/>
    <xf numFmtId="0" fontId="25" fillId="2" borderId="0" xfId="1" applyFont="1" applyFill="1" applyBorder="1" applyAlignment="1">
      <alignment horizontal="center"/>
    </xf>
    <xf numFmtId="0" fontId="24" fillId="2" borderId="0" xfId="1" applyFill="1" applyBorder="1"/>
    <xf numFmtId="14" fontId="25" fillId="2" borderId="0" xfId="1" applyNumberFormat="1" applyFont="1" applyFill="1" applyBorder="1"/>
    <xf numFmtId="14" fontId="25" fillId="2" borderId="3" xfId="1" applyNumberFormat="1" applyFont="1" applyFill="1" applyBorder="1" applyAlignment="1">
      <alignment horizontal="center"/>
    </xf>
    <xf numFmtId="0" fontId="26" fillId="2" borderId="91" xfId="1" applyFont="1" applyFill="1" applyBorder="1"/>
    <xf numFmtId="0" fontId="25" fillId="2" borderId="92" xfId="1" applyFont="1" applyFill="1" applyBorder="1"/>
    <xf numFmtId="0" fontId="26" fillId="2" borderId="0" xfId="1" applyFont="1" applyFill="1" applyBorder="1" applyAlignment="1">
      <alignment horizontal="center"/>
    </xf>
    <xf numFmtId="2" fontId="34" fillId="2" borderId="0" xfId="1" applyNumberFormat="1" applyFont="1" applyFill="1" applyAlignment="1">
      <alignment horizontal="center"/>
    </xf>
    <xf numFmtId="0" fontId="34" fillId="2" borderId="0" xfId="1" applyFont="1" applyFill="1" applyAlignment="1">
      <alignment horizontal="center"/>
    </xf>
    <xf numFmtId="164" fontId="34" fillId="2" borderId="0" xfId="1" applyNumberFormat="1" applyFont="1" applyFill="1" applyAlignment="1">
      <alignment horizontal="center"/>
    </xf>
    <xf numFmtId="2" fontId="2" fillId="2" borderId="66" xfId="1" applyNumberFormat="1" applyFont="1" applyFill="1" applyBorder="1" applyAlignment="1">
      <alignment horizontal="center"/>
    </xf>
    <xf numFmtId="170" fontId="1" fillId="2" borderId="67" xfId="1" applyNumberFormat="1" applyFont="1" applyFill="1" applyBorder="1" applyAlignment="1">
      <alignment horizontal="center"/>
    </xf>
    <xf numFmtId="170" fontId="10" fillId="2" borderId="0" xfId="0" applyNumberFormat="1" applyFont="1" applyFill="1" applyAlignment="1" applyProtection="1">
      <alignment horizontal="center"/>
      <protection locked="0"/>
    </xf>
    <xf numFmtId="0" fontId="9" fillId="2" borderId="94" xfId="0" applyFont="1" applyFill="1" applyBorder="1" applyAlignment="1">
      <alignment horizontal="right"/>
    </xf>
    <xf numFmtId="0" fontId="9" fillId="2" borderId="93" xfId="0" applyFont="1" applyFill="1" applyBorder="1" applyAlignment="1">
      <alignment horizontal="right"/>
    </xf>
    <xf numFmtId="170" fontId="9" fillId="2" borderId="95" xfId="0" applyNumberFormat="1" applyFont="1" applyFill="1" applyBorder="1" applyAlignment="1">
      <alignment horizontal="right"/>
    </xf>
    <xf numFmtId="0" fontId="9" fillId="2" borderId="96" xfId="0" applyFont="1" applyFill="1" applyBorder="1" applyAlignment="1">
      <alignment horizontal="right"/>
    </xf>
    <xf numFmtId="172" fontId="28" fillId="6" borderId="1" xfId="1" applyNumberFormat="1" applyFont="1" applyFill="1" applyBorder="1" applyAlignment="1">
      <alignment horizontal="center"/>
    </xf>
    <xf numFmtId="0" fontId="31" fillId="2" borderId="0" xfId="1" applyFont="1" applyFill="1" applyAlignment="1">
      <alignment horizontal="center"/>
    </xf>
    <xf numFmtId="0" fontId="26" fillId="2" borderId="5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5" fillId="2" borderId="3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8" fillId="2" borderId="0" xfId="1" applyFont="1" applyFill="1" applyAlignment="1">
      <alignment horizontal="center" wrapText="1"/>
    </xf>
    <xf numFmtId="0" fontId="4" fillId="2" borderId="0" xfId="1" applyFont="1" applyFill="1" applyAlignment="1">
      <alignment horizontal="center"/>
    </xf>
    <xf numFmtId="0" fontId="33" fillId="2" borderId="0" xfId="1" applyFont="1" applyFill="1" applyAlignment="1">
      <alignment horizontal="center"/>
    </xf>
    <xf numFmtId="169" fontId="1" fillId="2" borderId="70" xfId="1" applyNumberFormat="1" applyFont="1" applyFill="1" applyBorder="1" applyAlignment="1">
      <alignment horizontal="center" vertical="center"/>
    </xf>
    <xf numFmtId="169" fontId="1" fillId="2" borderId="72" xfId="1" applyNumberFormat="1" applyFont="1" applyFill="1" applyBorder="1" applyAlignment="1">
      <alignment horizontal="center" vertical="center"/>
    </xf>
    <xf numFmtId="0" fontId="1" fillId="2" borderId="0" xfId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justify" vertical="center" wrapText="1"/>
    </xf>
    <xf numFmtId="0" fontId="17" fillId="2" borderId="14" xfId="0" applyFont="1" applyFill="1" applyBorder="1" applyAlignment="1">
      <alignment horizontal="justify" vertical="center" wrapText="1"/>
    </xf>
    <xf numFmtId="0" fontId="17" fillId="2" borderId="15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7" fillId="2" borderId="14" xfId="0" applyFont="1" applyFill="1" applyBorder="1" applyAlignment="1">
      <alignment horizontal="left" vertical="center" wrapText="1"/>
    </xf>
    <xf numFmtId="0" fontId="17" fillId="2" borderId="15" xfId="0" applyFont="1" applyFill="1" applyBorder="1" applyAlignment="1">
      <alignment horizontal="left" vertical="center" wrapText="1"/>
    </xf>
    <xf numFmtId="0" fontId="10" fillId="2" borderId="42" xfId="0" applyFont="1" applyFill="1" applyBorder="1" applyAlignment="1">
      <alignment horizontal="center"/>
    </xf>
    <xf numFmtId="0" fontId="10" fillId="2" borderId="53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left" vertical="center" wrapText="1"/>
    </xf>
    <xf numFmtId="0" fontId="17" fillId="2" borderId="5" xfId="0" applyFont="1" applyFill="1" applyBorder="1" applyAlignment="1">
      <alignment horizontal="left" vertical="center" wrapText="1"/>
    </xf>
    <xf numFmtId="0" fontId="17" fillId="2" borderId="38" xfId="0" applyFont="1" applyFill="1" applyBorder="1" applyAlignment="1">
      <alignment horizontal="left" vertical="center" wrapText="1"/>
    </xf>
    <xf numFmtId="0" fontId="17" fillId="2" borderId="4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2" fontId="11" fillId="3" borderId="8" xfId="0" applyNumberFormat="1" applyFont="1" applyFill="1" applyBorder="1" applyAlignment="1" applyProtection="1">
      <alignment horizontal="center" vertical="center"/>
      <protection locked="0"/>
    </xf>
    <xf numFmtId="2" fontId="11" fillId="3" borderId="9" xfId="0" applyNumberFormat="1" applyFont="1" applyFill="1" applyBorder="1" applyAlignment="1" applyProtection="1">
      <alignment horizontal="center" vertical="center"/>
      <protection locked="0"/>
    </xf>
    <xf numFmtId="2" fontId="11" fillId="3" borderId="10" xfId="0" applyNumberFormat="1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7" fillId="2" borderId="17" xfId="0" applyFont="1" applyFill="1" applyBorder="1" applyAlignment="1">
      <alignment horizontal="left" vertical="center" wrapText="1"/>
    </xf>
    <xf numFmtId="0" fontId="17" fillId="2" borderId="39" xfId="0" applyFont="1" applyFill="1" applyBorder="1" applyAlignment="1">
      <alignment horizontal="left" vertical="center" wrapText="1"/>
    </xf>
    <xf numFmtId="10" fontId="13" fillId="2" borderId="9" xfId="0" applyNumberFormat="1" applyFont="1" applyFill="1" applyBorder="1" applyAlignment="1">
      <alignment horizontal="center" vertical="center"/>
    </xf>
    <xf numFmtId="0" fontId="10" fillId="2" borderId="38" xfId="0" applyFont="1" applyFill="1" applyBorder="1" applyAlignment="1">
      <alignment horizontal="center" vertical="center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7" xfId="0" applyFont="1" applyFill="1" applyBorder="1" applyAlignment="1">
      <alignment horizontal="center" vertical="center" wrapText="1"/>
    </xf>
    <xf numFmtId="0" fontId="17" fillId="2" borderId="38" xfId="0" applyFont="1" applyFill="1" applyBorder="1" applyAlignment="1">
      <alignment horizontal="center" vertical="center" wrapText="1"/>
    </xf>
    <xf numFmtId="0" fontId="17" fillId="2" borderId="39" xfId="0" applyFont="1" applyFill="1" applyBorder="1" applyAlignment="1">
      <alignment horizontal="center" vertical="center" wrapText="1"/>
    </xf>
    <xf numFmtId="0" fontId="10" fillId="2" borderId="35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/>
      <protection locked="0"/>
    </xf>
    <xf numFmtId="0" fontId="12" fillId="3" borderId="0" xfId="0" applyFont="1" applyFill="1" applyAlignment="1" applyProtection="1">
      <alignment horizontal="left" wrapText="1"/>
      <protection locked="0"/>
    </xf>
    <xf numFmtId="0" fontId="10" fillId="2" borderId="63" xfId="0" applyFont="1" applyFill="1" applyBorder="1" applyAlignment="1">
      <alignment horizontal="center"/>
    </xf>
    <xf numFmtId="0" fontId="10" fillId="2" borderId="60" xfId="0" applyFont="1" applyFill="1" applyBorder="1" applyAlignment="1">
      <alignment horizontal="center"/>
    </xf>
    <xf numFmtId="10" fontId="13" fillId="2" borderId="19" xfId="0" applyNumberFormat="1" applyFont="1" applyFill="1" applyBorder="1" applyAlignment="1">
      <alignment horizontal="center" vertical="center"/>
    </xf>
    <xf numFmtId="0" fontId="5" fillId="2" borderId="0" xfId="1" applyFont="1" applyFill="1" applyAlignment="1">
      <alignment horizontal="left"/>
    </xf>
  </cellXfs>
  <cellStyles count="3">
    <cellStyle name="Normal" xfId="0" builtinId="0"/>
    <cellStyle name="Normal 2" xfId="1"/>
    <cellStyle name="Percent" xfId="2" builtinId="5"/>
  </cellStyles>
  <dxfs count="26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2"/>
  <sheetViews>
    <sheetView view="pageBreakPreview" topLeftCell="A40" zoomScale="90" zoomScaleNormal="100" zoomScaleSheetLayoutView="90" workbookViewId="0">
      <selection activeCell="C37" sqref="C37"/>
    </sheetView>
  </sheetViews>
  <sheetFormatPr defaultColWidth="9.109375" defaultRowHeight="13.8" x14ac:dyDescent="0.3"/>
  <cols>
    <col min="1" max="1" width="27.5546875" style="543" customWidth="1"/>
    <col min="2" max="2" width="20.44140625" style="543" customWidth="1"/>
    <col min="3" max="3" width="31.88671875" style="543" customWidth="1"/>
    <col min="4" max="4" width="28.109375" style="543" customWidth="1"/>
    <col min="5" max="5" width="27.88671875" style="543" customWidth="1"/>
    <col min="6" max="6" width="23.109375" style="543" customWidth="1"/>
    <col min="7" max="7" width="28.44140625" style="543" customWidth="1"/>
    <col min="8" max="8" width="21.5546875" style="543" customWidth="1"/>
    <col min="9" max="9" width="9.109375" style="543" customWidth="1"/>
    <col min="10" max="16384" width="9.109375" style="542"/>
  </cols>
  <sheetData>
    <row r="14" spans="1:6" s="543" customFormat="1" ht="15" customHeight="1" x14ac:dyDescent="0.3">
      <c r="A14" s="580"/>
      <c r="C14" s="579"/>
      <c r="F14" s="579"/>
    </row>
    <row r="15" spans="1:6" s="543" customFormat="1" ht="18.75" customHeight="1" x14ac:dyDescent="0.35">
      <c r="A15" s="704" t="s">
        <v>120</v>
      </c>
      <c r="B15" s="704"/>
      <c r="C15" s="704"/>
      <c r="D15" s="704"/>
      <c r="E15" s="704"/>
    </row>
    <row r="16" spans="1:6" s="543" customFormat="1" ht="16.5" customHeight="1" x14ac:dyDescent="0.3">
      <c r="A16" s="575" t="s">
        <v>0</v>
      </c>
      <c r="B16" s="644" t="s">
        <v>119</v>
      </c>
    </row>
    <row r="17" spans="1:5" s="543" customFormat="1" ht="16.5" customHeight="1" x14ac:dyDescent="0.3">
      <c r="A17" s="573" t="s">
        <v>118</v>
      </c>
      <c r="B17" s="681" t="s">
        <v>139</v>
      </c>
      <c r="D17" s="578"/>
      <c r="E17" s="553"/>
    </row>
    <row r="18" spans="1:5" s="543" customFormat="1" ht="16.5" customHeight="1" x14ac:dyDescent="0.3">
      <c r="A18" s="552" t="s">
        <v>1</v>
      </c>
      <c r="B18" s="681" t="s">
        <v>136</v>
      </c>
      <c r="C18" s="553"/>
      <c r="D18" s="553"/>
      <c r="E18" s="553"/>
    </row>
    <row r="19" spans="1:5" s="543" customFormat="1" ht="16.5" customHeight="1" x14ac:dyDescent="0.3">
      <c r="A19" s="552" t="s">
        <v>2</v>
      </c>
      <c r="B19" s="577">
        <v>101.74</v>
      </c>
      <c r="C19" s="553"/>
      <c r="D19" s="553"/>
      <c r="E19" s="553"/>
    </row>
    <row r="20" spans="1:5" s="543" customFormat="1" ht="16.5" customHeight="1" x14ac:dyDescent="0.3">
      <c r="A20" s="573" t="s">
        <v>116</v>
      </c>
      <c r="B20" s="574">
        <v>16.93</v>
      </c>
      <c r="C20" s="553"/>
      <c r="D20" s="553"/>
      <c r="E20" s="553"/>
    </row>
    <row r="21" spans="1:5" s="543" customFormat="1" ht="16.5" customHeight="1" x14ac:dyDescent="0.3">
      <c r="A21" s="755" t="s">
        <v>115</v>
      </c>
      <c r="B21" s="572">
        <f>B20/25*5/50</f>
        <v>6.7720000000000002E-2</v>
      </c>
      <c r="C21" s="553"/>
      <c r="D21" s="553"/>
      <c r="E21" s="553"/>
    </row>
    <row r="22" spans="1:5" s="543" customFormat="1" ht="15.75" customHeight="1" x14ac:dyDescent="0.3">
      <c r="A22" s="553"/>
      <c r="B22" s="576"/>
      <c r="C22" s="553"/>
      <c r="D22" s="553"/>
      <c r="E22" s="553"/>
    </row>
    <row r="23" spans="1:5" s="543" customFormat="1" ht="16.5" customHeight="1" x14ac:dyDescent="0.3">
      <c r="A23" s="570" t="s">
        <v>114</v>
      </c>
      <c r="B23" s="571" t="s">
        <v>113</v>
      </c>
      <c r="C23" s="570" t="s">
        <v>112</v>
      </c>
      <c r="D23" s="570" t="s">
        <v>111</v>
      </c>
      <c r="E23" s="570" t="s">
        <v>110</v>
      </c>
    </row>
    <row r="24" spans="1:5" s="543" customFormat="1" ht="16.5" customHeight="1" x14ac:dyDescent="0.3">
      <c r="A24" s="568">
        <v>1</v>
      </c>
      <c r="B24" s="569">
        <v>19478301</v>
      </c>
      <c r="C24" s="569">
        <v>10048.700000000001</v>
      </c>
      <c r="D24" s="645">
        <v>1.1000000000000001</v>
      </c>
      <c r="E24" s="646">
        <v>5.4</v>
      </c>
    </row>
    <row r="25" spans="1:5" s="543" customFormat="1" ht="16.5" customHeight="1" x14ac:dyDescent="0.3">
      <c r="A25" s="568">
        <v>2</v>
      </c>
      <c r="B25" s="569">
        <v>19532279</v>
      </c>
      <c r="C25" s="569">
        <v>10007.9</v>
      </c>
      <c r="D25" s="645">
        <v>1.1000000000000001</v>
      </c>
      <c r="E25" s="645">
        <v>5.4</v>
      </c>
    </row>
    <row r="26" spans="1:5" s="543" customFormat="1" ht="16.5" customHeight="1" x14ac:dyDescent="0.3">
      <c r="A26" s="568">
        <v>3</v>
      </c>
      <c r="B26" s="569">
        <v>19482165</v>
      </c>
      <c r="C26" s="569">
        <v>10083.299999999999</v>
      </c>
      <c r="D26" s="645">
        <v>1.1000000000000001</v>
      </c>
      <c r="E26" s="645">
        <v>5.4</v>
      </c>
    </row>
    <row r="27" spans="1:5" s="543" customFormat="1" ht="16.5" customHeight="1" x14ac:dyDescent="0.3">
      <c r="A27" s="568">
        <v>4</v>
      </c>
      <c r="B27" s="569">
        <v>19473805</v>
      </c>
      <c r="C27" s="569">
        <v>10051.4</v>
      </c>
      <c r="D27" s="645">
        <v>1.1000000000000001</v>
      </c>
      <c r="E27" s="645">
        <v>5.4</v>
      </c>
    </row>
    <row r="28" spans="1:5" s="543" customFormat="1" ht="16.5" customHeight="1" x14ac:dyDescent="0.3">
      <c r="A28" s="568">
        <v>5</v>
      </c>
      <c r="B28" s="569">
        <v>19391104</v>
      </c>
      <c r="C28" s="569">
        <v>10032.4</v>
      </c>
      <c r="D28" s="645">
        <v>1.1000000000000001</v>
      </c>
      <c r="E28" s="645">
        <v>5.4</v>
      </c>
    </row>
    <row r="29" spans="1:5" s="543" customFormat="1" ht="16.5" customHeight="1" x14ac:dyDescent="0.3">
      <c r="A29" s="568">
        <v>6</v>
      </c>
      <c r="B29" s="567">
        <v>19520116</v>
      </c>
      <c r="C29" s="567">
        <v>10026.299999999999</v>
      </c>
      <c r="D29" s="647">
        <v>1.1000000000000001</v>
      </c>
      <c r="E29" s="647">
        <v>5.4</v>
      </c>
    </row>
    <row r="30" spans="1:5" s="543" customFormat="1" ht="16.5" customHeight="1" x14ac:dyDescent="0.3">
      <c r="A30" s="566" t="s">
        <v>109</v>
      </c>
      <c r="B30" s="565">
        <f>AVERAGE(B24:B29)</f>
        <v>19479628.333333332</v>
      </c>
      <c r="C30" s="564">
        <f>AVERAGE(C24:C29)</f>
        <v>10041.666666666666</v>
      </c>
      <c r="D30" s="563">
        <f>AVERAGE(D24:D29)</f>
        <v>1.0999999999999999</v>
      </c>
      <c r="E30" s="563">
        <f>AVERAGE(E24:E29)</f>
        <v>5.3999999999999995</v>
      </c>
    </row>
    <row r="31" spans="1:5" s="543" customFormat="1" ht="16.5" customHeight="1" x14ac:dyDescent="0.3">
      <c r="A31" s="562" t="s">
        <v>108</v>
      </c>
      <c r="B31" s="561">
        <f>(STDEV(B24:B29)/B30)</f>
        <v>2.5451327215738847E-3</v>
      </c>
      <c r="C31" s="560"/>
      <c r="D31" s="560"/>
      <c r="E31" s="559"/>
    </row>
    <row r="32" spans="1:5" s="543" customFormat="1" ht="16.5" customHeight="1" x14ac:dyDescent="0.3">
      <c r="A32" s="558" t="s">
        <v>3</v>
      </c>
      <c r="B32" s="557">
        <f>COUNT(B24:B29)</f>
        <v>6</v>
      </c>
      <c r="C32" s="556"/>
      <c r="D32" s="555"/>
      <c r="E32" s="554"/>
    </row>
    <row r="33" spans="1:5" s="543" customFormat="1" ht="15.75" customHeight="1" x14ac:dyDescent="0.3">
      <c r="A33" s="553"/>
      <c r="B33" s="553"/>
      <c r="C33" s="553"/>
      <c r="D33" s="553"/>
      <c r="E33" s="553"/>
    </row>
    <row r="34" spans="1:5" s="543" customFormat="1" ht="16.5" customHeight="1" x14ac:dyDescent="0.3">
      <c r="A34" s="552" t="s">
        <v>107</v>
      </c>
      <c r="B34" s="551" t="s">
        <v>106</v>
      </c>
      <c r="C34" s="550"/>
      <c r="D34" s="550"/>
      <c r="E34" s="550"/>
    </row>
    <row r="35" spans="1:5" s="543" customFormat="1" ht="16.5" customHeight="1" x14ac:dyDescent="0.3">
      <c r="A35" s="552"/>
      <c r="B35" s="551" t="s">
        <v>105</v>
      </c>
      <c r="C35" s="550"/>
      <c r="D35" s="550"/>
      <c r="E35" s="550"/>
    </row>
    <row r="36" spans="1:5" s="543" customFormat="1" ht="16.5" customHeight="1" x14ac:dyDescent="0.3">
      <c r="A36" s="552"/>
      <c r="B36" s="551" t="s">
        <v>104</v>
      </c>
      <c r="C36" s="550"/>
      <c r="D36" s="550"/>
      <c r="E36" s="550"/>
    </row>
    <row r="37" spans="1:5" s="543" customFormat="1" ht="15.75" customHeight="1" x14ac:dyDescent="0.3">
      <c r="A37" s="553"/>
      <c r="B37" s="553"/>
      <c r="C37" s="553"/>
      <c r="D37" s="553"/>
      <c r="E37" s="553"/>
    </row>
    <row r="38" spans="1:5" s="543" customFormat="1" ht="16.5" customHeight="1" x14ac:dyDescent="0.3">
      <c r="A38" s="575" t="s">
        <v>0</v>
      </c>
      <c r="B38" s="644" t="s">
        <v>117</v>
      </c>
    </row>
    <row r="39" spans="1:5" s="543" customFormat="1" ht="16.5" customHeight="1" x14ac:dyDescent="0.3">
      <c r="A39" s="552" t="s">
        <v>1</v>
      </c>
      <c r="B39" s="574" t="str">
        <f>B18</f>
        <v>Lamivudine</v>
      </c>
      <c r="C39" s="553"/>
      <c r="D39" s="553"/>
      <c r="E39" s="553"/>
    </row>
    <row r="40" spans="1:5" s="543" customFormat="1" ht="16.5" customHeight="1" x14ac:dyDescent="0.3">
      <c r="A40" s="552" t="s">
        <v>2</v>
      </c>
      <c r="B40" s="574">
        <f>B19</f>
        <v>101.74</v>
      </c>
      <c r="C40" s="553"/>
      <c r="D40" s="553"/>
      <c r="E40" s="553"/>
    </row>
    <row r="41" spans="1:5" s="543" customFormat="1" ht="16.5" customHeight="1" x14ac:dyDescent="0.3">
      <c r="A41" s="573" t="s">
        <v>116</v>
      </c>
      <c r="B41" s="574">
        <v>19.39</v>
      </c>
      <c r="C41" s="553"/>
      <c r="D41" s="553"/>
      <c r="E41" s="553"/>
    </row>
    <row r="42" spans="1:5" s="543" customFormat="1" ht="16.5" customHeight="1" x14ac:dyDescent="0.3">
      <c r="A42" s="573" t="s">
        <v>115</v>
      </c>
      <c r="B42" s="572">
        <f>B41/25*10/20</f>
        <v>0.38780000000000003</v>
      </c>
      <c r="C42" s="553"/>
      <c r="D42" s="553"/>
      <c r="E42" s="553"/>
    </row>
    <row r="43" spans="1:5" s="543" customFormat="1" ht="15.75" customHeight="1" x14ac:dyDescent="0.3">
      <c r="A43" s="553"/>
      <c r="B43" s="553"/>
      <c r="C43" s="553"/>
      <c r="D43" s="553"/>
      <c r="E43" s="553"/>
    </row>
    <row r="44" spans="1:5" s="543" customFormat="1" ht="16.5" customHeight="1" x14ac:dyDescent="0.3">
      <c r="A44" s="570" t="s">
        <v>114</v>
      </c>
      <c r="B44" s="571" t="s">
        <v>113</v>
      </c>
      <c r="C44" s="570" t="s">
        <v>112</v>
      </c>
      <c r="D44" s="570" t="s">
        <v>111</v>
      </c>
      <c r="E44" s="570" t="s">
        <v>110</v>
      </c>
    </row>
    <row r="45" spans="1:5" s="543" customFormat="1" ht="16.5" customHeight="1" x14ac:dyDescent="0.3">
      <c r="A45" s="568">
        <v>1</v>
      </c>
      <c r="B45" s="569">
        <v>109088594</v>
      </c>
      <c r="C45" s="569">
        <v>14142.5</v>
      </c>
      <c r="D45" s="645">
        <v>1.1000000000000001</v>
      </c>
      <c r="E45" s="646">
        <v>5.9</v>
      </c>
    </row>
    <row r="46" spans="1:5" s="543" customFormat="1" ht="16.5" customHeight="1" x14ac:dyDescent="0.3">
      <c r="A46" s="568">
        <v>2</v>
      </c>
      <c r="B46" s="569">
        <v>107920038</v>
      </c>
      <c r="C46" s="569">
        <v>14129.1</v>
      </c>
      <c r="D46" s="645">
        <v>1.1000000000000001</v>
      </c>
      <c r="E46" s="645">
        <v>5.9</v>
      </c>
    </row>
    <row r="47" spans="1:5" s="543" customFormat="1" ht="16.5" customHeight="1" x14ac:dyDescent="0.3">
      <c r="A47" s="568">
        <v>3</v>
      </c>
      <c r="B47" s="569">
        <v>107586448</v>
      </c>
      <c r="C47" s="569">
        <v>14310.2</v>
      </c>
      <c r="D47" s="645">
        <v>1.1000000000000001</v>
      </c>
      <c r="E47" s="645">
        <v>5.9</v>
      </c>
    </row>
    <row r="48" spans="1:5" s="543" customFormat="1" ht="16.5" customHeight="1" x14ac:dyDescent="0.3">
      <c r="A48" s="568">
        <v>4</v>
      </c>
      <c r="B48" s="569">
        <v>107664730</v>
      </c>
      <c r="C48" s="569">
        <v>14116.6</v>
      </c>
      <c r="D48" s="645">
        <v>1.1000000000000001</v>
      </c>
      <c r="E48" s="645">
        <v>5.9</v>
      </c>
    </row>
    <row r="49" spans="1:7" s="543" customFormat="1" ht="16.5" customHeight="1" x14ac:dyDescent="0.3">
      <c r="A49" s="568">
        <v>5</v>
      </c>
      <c r="B49" s="569">
        <v>109199466</v>
      </c>
      <c r="C49" s="569">
        <v>14170.7</v>
      </c>
      <c r="D49" s="645">
        <v>1.1000000000000001</v>
      </c>
      <c r="E49" s="645">
        <v>5.9</v>
      </c>
    </row>
    <row r="50" spans="1:7" s="543" customFormat="1" ht="16.5" customHeight="1" x14ac:dyDescent="0.3">
      <c r="A50" s="568">
        <v>6</v>
      </c>
      <c r="B50" s="567">
        <v>109923327</v>
      </c>
      <c r="C50" s="647">
        <v>14328</v>
      </c>
      <c r="D50" s="647">
        <v>1.1000000000000001</v>
      </c>
      <c r="E50" s="647">
        <v>5.9</v>
      </c>
    </row>
    <row r="51" spans="1:7" s="543" customFormat="1" ht="16.5" customHeight="1" x14ac:dyDescent="0.3">
      <c r="A51" s="566" t="s">
        <v>109</v>
      </c>
      <c r="B51" s="565">
        <f>AVERAGE(B45:B50)</f>
        <v>108563767.16666667</v>
      </c>
      <c r="C51" s="564">
        <f>AVERAGE(C45:C50)</f>
        <v>14199.516666666668</v>
      </c>
      <c r="D51" s="563">
        <f>AVERAGE(D45:D50)</f>
        <v>1.0999999999999999</v>
      </c>
      <c r="E51" s="563">
        <f>AVERAGE(E45:E50)</f>
        <v>5.8999999999999995</v>
      </c>
    </row>
    <row r="52" spans="1:7" s="543" customFormat="1" ht="16.5" customHeight="1" x14ac:dyDescent="0.3">
      <c r="A52" s="562" t="s">
        <v>108</v>
      </c>
      <c r="B52" s="561">
        <f>(STDEV(B45:B50)/B51)</f>
        <v>8.9360440621053562E-3</v>
      </c>
      <c r="C52" s="560"/>
      <c r="D52" s="560"/>
      <c r="E52" s="559"/>
    </row>
    <row r="53" spans="1:7" s="543" customFormat="1" ht="16.5" customHeight="1" x14ac:dyDescent="0.3">
      <c r="A53" s="558" t="s">
        <v>3</v>
      </c>
      <c r="B53" s="557">
        <f>COUNT(B45:B50)</f>
        <v>6</v>
      </c>
      <c r="C53" s="556"/>
      <c r="D53" s="555"/>
      <c r="E53" s="554"/>
    </row>
    <row r="54" spans="1:7" s="543" customFormat="1" ht="15.75" customHeight="1" x14ac:dyDescent="0.3">
      <c r="A54" s="553"/>
      <c r="B54" s="553"/>
      <c r="C54" s="553"/>
      <c r="D54" s="553"/>
      <c r="E54" s="553"/>
    </row>
    <row r="55" spans="1:7" s="543" customFormat="1" ht="16.5" customHeight="1" x14ac:dyDescent="0.3">
      <c r="A55" s="552" t="s">
        <v>107</v>
      </c>
      <c r="B55" s="551" t="s">
        <v>106</v>
      </c>
      <c r="C55" s="550"/>
      <c r="D55" s="550"/>
      <c r="E55" s="550"/>
    </row>
    <row r="56" spans="1:7" s="543" customFormat="1" ht="16.5" customHeight="1" x14ac:dyDescent="0.3">
      <c r="A56" s="552"/>
      <c r="B56" s="551" t="s">
        <v>105</v>
      </c>
      <c r="C56" s="550"/>
      <c r="D56" s="550"/>
      <c r="E56" s="550"/>
    </row>
    <row r="57" spans="1:7" s="543" customFormat="1" ht="16.5" customHeight="1" x14ac:dyDescent="0.3">
      <c r="A57" s="552"/>
      <c r="B57" s="551" t="s">
        <v>104</v>
      </c>
      <c r="C57" s="550"/>
      <c r="D57" s="550"/>
      <c r="E57" s="550"/>
    </row>
    <row r="58" spans="1:7" s="543" customFormat="1" ht="14.25" customHeight="1" thickBot="1" x14ac:dyDescent="0.35">
      <c r="A58" s="549"/>
      <c r="B58" s="548"/>
      <c r="D58" s="547"/>
      <c r="F58" s="687"/>
      <c r="G58" s="542"/>
    </row>
    <row r="59" spans="1:7" s="543" customFormat="1" ht="15" customHeight="1" x14ac:dyDescent="0.3">
      <c r="B59" s="705" t="s">
        <v>4</v>
      </c>
      <c r="C59" s="705"/>
      <c r="D59" s="546" t="s">
        <v>5</v>
      </c>
      <c r="E59" s="546" t="s">
        <v>6</v>
      </c>
      <c r="F59" s="686"/>
    </row>
    <row r="60" spans="1:7" s="543" customFormat="1" ht="15" customHeight="1" x14ac:dyDescent="0.3">
      <c r="A60" s="544" t="s">
        <v>7</v>
      </c>
      <c r="B60" s="683"/>
      <c r="C60" s="683"/>
      <c r="D60" s="683"/>
      <c r="E60" s="683"/>
    </row>
    <row r="61" spans="1:7" s="543" customFormat="1" ht="15" customHeight="1" x14ac:dyDescent="0.3">
      <c r="A61" s="544"/>
      <c r="B61" s="691"/>
      <c r="C61" s="691"/>
      <c r="D61" s="691"/>
      <c r="E61" s="691"/>
    </row>
    <row r="62" spans="1:7" s="543" customFormat="1" ht="15" customHeight="1" x14ac:dyDescent="0.3">
      <c r="A62" s="544" t="s">
        <v>8</v>
      </c>
      <c r="B62" s="690"/>
      <c r="C62" s="690"/>
      <c r="D62" s="690"/>
      <c r="E62" s="68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2"/>
  <sheetViews>
    <sheetView view="pageBreakPreview" topLeftCell="A25" zoomScale="80" zoomScaleNormal="100" zoomScaleSheetLayoutView="80" workbookViewId="0">
      <selection activeCell="B52" sqref="B52"/>
    </sheetView>
  </sheetViews>
  <sheetFormatPr defaultColWidth="9.109375" defaultRowHeight="13.8" x14ac:dyDescent="0.3"/>
  <cols>
    <col min="1" max="1" width="27.5546875" style="543" customWidth="1"/>
    <col min="2" max="2" width="20.44140625" style="543" customWidth="1"/>
    <col min="3" max="3" width="31.88671875" style="543" customWidth="1"/>
    <col min="4" max="4" width="27.33203125" style="543" customWidth="1"/>
    <col min="5" max="5" width="25.6640625" style="543" customWidth="1"/>
    <col min="6" max="6" width="23.109375" style="543" customWidth="1"/>
    <col min="7" max="7" width="28.44140625" style="543" customWidth="1"/>
    <col min="8" max="8" width="21.5546875" style="543" customWidth="1"/>
    <col min="9" max="9" width="9.109375" style="543" customWidth="1"/>
    <col min="10" max="16384" width="9.109375" style="542"/>
  </cols>
  <sheetData>
    <row r="14" spans="1:6" ht="15" customHeight="1" x14ac:dyDescent="0.3">
      <c r="A14" s="580"/>
      <c r="C14" s="579"/>
      <c r="F14" s="579"/>
    </row>
    <row r="15" spans="1:6" ht="18.75" customHeight="1" x14ac:dyDescent="0.35">
      <c r="A15" s="704" t="s">
        <v>120</v>
      </c>
      <c r="B15" s="704"/>
      <c r="C15" s="704"/>
      <c r="D15" s="704"/>
      <c r="E15" s="704"/>
    </row>
    <row r="16" spans="1:6" ht="16.5" customHeight="1" x14ac:dyDescent="0.3">
      <c r="A16" s="575" t="s">
        <v>0</v>
      </c>
      <c r="B16" s="644" t="s">
        <v>119</v>
      </c>
    </row>
    <row r="17" spans="1:5" ht="16.5" customHeight="1" x14ac:dyDescent="0.3">
      <c r="A17" s="573" t="s">
        <v>118</v>
      </c>
      <c r="B17" s="681" t="s">
        <v>134</v>
      </c>
      <c r="D17" s="578"/>
      <c r="E17" s="553"/>
    </row>
    <row r="18" spans="1:5" ht="16.5" customHeight="1" x14ac:dyDescent="0.3">
      <c r="A18" s="552" t="s">
        <v>1</v>
      </c>
      <c r="B18" s="682" t="s">
        <v>135</v>
      </c>
      <c r="C18" s="553"/>
      <c r="D18" s="553"/>
      <c r="E18" s="553"/>
    </row>
    <row r="19" spans="1:5" ht="16.5" customHeight="1" x14ac:dyDescent="0.3">
      <c r="A19" s="552" t="s">
        <v>2</v>
      </c>
      <c r="B19" s="574">
        <v>98.8</v>
      </c>
      <c r="C19" s="553"/>
      <c r="D19" s="553"/>
      <c r="E19" s="553"/>
    </row>
    <row r="20" spans="1:5" ht="16.5" customHeight="1" x14ac:dyDescent="0.3">
      <c r="A20" s="573" t="s">
        <v>116</v>
      </c>
      <c r="B20" s="574">
        <v>15.66</v>
      </c>
      <c r="C20" s="553"/>
      <c r="D20" s="553"/>
      <c r="E20" s="553"/>
    </row>
    <row r="21" spans="1:5" ht="16.5" customHeight="1" x14ac:dyDescent="0.3">
      <c r="A21" s="573" t="s">
        <v>115</v>
      </c>
      <c r="B21" s="572">
        <f>B20/25*5/50</f>
        <v>6.2639999999999987E-2</v>
      </c>
      <c r="C21" s="553"/>
      <c r="D21" s="553"/>
      <c r="E21" s="553"/>
    </row>
    <row r="22" spans="1:5" ht="15.75" customHeight="1" x14ac:dyDescent="0.3">
      <c r="A22" s="553"/>
      <c r="B22" s="576"/>
      <c r="C22" s="553"/>
      <c r="D22" s="553"/>
      <c r="E22" s="553"/>
    </row>
    <row r="23" spans="1:5" ht="16.5" customHeight="1" x14ac:dyDescent="0.3">
      <c r="A23" s="570" t="s">
        <v>114</v>
      </c>
      <c r="B23" s="571" t="s">
        <v>113</v>
      </c>
      <c r="C23" s="570" t="s">
        <v>112</v>
      </c>
      <c r="D23" s="570" t="s">
        <v>111</v>
      </c>
      <c r="E23" s="570" t="s">
        <v>110</v>
      </c>
    </row>
    <row r="24" spans="1:5" ht="16.5" customHeight="1" x14ac:dyDescent="0.3">
      <c r="A24" s="568">
        <v>1</v>
      </c>
      <c r="B24" s="569">
        <v>12989431</v>
      </c>
      <c r="C24" s="569">
        <v>168103.9</v>
      </c>
      <c r="D24" s="645">
        <v>1.1000000000000001</v>
      </c>
      <c r="E24" s="646">
        <v>15.1</v>
      </c>
    </row>
    <row r="25" spans="1:5" ht="16.5" customHeight="1" x14ac:dyDescent="0.3">
      <c r="A25" s="568">
        <v>2</v>
      </c>
      <c r="B25" s="569">
        <v>12933420</v>
      </c>
      <c r="C25" s="645">
        <v>168953</v>
      </c>
      <c r="D25" s="645">
        <v>1.1000000000000001</v>
      </c>
      <c r="E25" s="645">
        <v>15.1</v>
      </c>
    </row>
    <row r="26" spans="1:5" ht="16.5" customHeight="1" x14ac:dyDescent="0.3">
      <c r="A26" s="568">
        <v>3</v>
      </c>
      <c r="B26" s="569">
        <v>12946994</v>
      </c>
      <c r="C26" s="569">
        <v>168196.9</v>
      </c>
      <c r="D26" s="645">
        <v>1.1000000000000001</v>
      </c>
      <c r="E26" s="645">
        <v>15.1</v>
      </c>
    </row>
    <row r="27" spans="1:5" ht="16.5" customHeight="1" x14ac:dyDescent="0.3">
      <c r="A27" s="568">
        <v>4</v>
      </c>
      <c r="B27" s="569">
        <v>12948055</v>
      </c>
      <c r="C27" s="645">
        <v>168815</v>
      </c>
      <c r="D27" s="645">
        <v>1.1000000000000001</v>
      </c>
      <c r="E27" s="645">
        <v>15.1</v>
      </c>
    </row>
    <row r="28" spans="1:5" ht="16.5" customHeight="1" x14ac:dyDescent="0.3">
      <c r="A28" s="568">
        <v>5</v>
      </c>
      <c r="B28" s="569">
        <v>12965307</v>
      </c>
      <c r="C28" s="569">
        <v>168063.1</v>
      </c>
      <c r="D28" s="645">
        <v>1.1000000000000001</v>
      </c>
      <c r="E28" s="645">
        <v>15.1</v>
      </c>
    </row>
    <row r="29" spans="1:5" ht="16.5" customHeight="1" x14ac:dyDescent="0.3">
      <c r="A29" s="568">
        <v>6</v>
      </c>
      <c r="B29" s="567">
        <v>13034559</v>
      </c>
      <c r="C29" s="567">
        <v>167938.7</v>
      </c>
      <c r="D29" s="647">
        <v>1.1000000000000001</v>
      </c>
      <c r="E29" s="647">
        <v>15.1</v>
      </c>
    </row>
    <row r="30" spans="1:5" ht="16.5" customHeight="1" x14ac:dyDescent="0.3">
      <c r="A30" s="566" t="s">
        <v>109</v>
      </c>
      <c r="B30" s="565">
        <f>AVERAGE(B24:B29)</f>
        <v>12969627.666666666</v>
      </c>
      <c r="C30" s="564">
        <f>AVERAGE(C24:C29)</f>
        <v>168345.1</v>
      </c>
      <c r="D30" s="563">
        <f>AVERAGE(D24:D29)</f>
        <v>1.0999999999999999</v>
      </c>
      <c r="E30" s="563">
        <f>AVERAGE(E24:E29)</f>
        <v>15.1</v>
      </c>
    </row>
    <row r="31" spans="1:5" ht="16.5" customHeight="1" x14ac:dyDescent="0.3">
      <c r="A31" s="562" t="s">
        <v>108</v>
      </c>
      <c r="B31" s="561">
        <f>(STDEV(B24:B29)/B30)</f>
        <v>2.8674884254837611E-3</v>
      </c>
      <c r="C31" s="560"/>
      <c r="D31" s="560"/>
      <c r="E31" s="559"/>
    </row>
    <row r="32" spans="1:5" s="543" customFormat="1" ht="16.5" customHeight="1" x14ac:dyDescent="0.3">
      <c r="A32" s="558" t="s">
        <v>3</v>
      </c>
      <c r="B32" s="557">
        <f>COUNT(B24:B29)</f>
        <v>6</v>
      </c>
      <c r="C32" s="556"/>
      <c r="D32" s="555"/>
      <c r="E32" s="554"/>
    </row>
    <row r="33" spans="1:5" s="543" customFormat="1" ht="15.75" customHeight="1" x14ac:dyDescent="0.3">
      <c r="A33" s="553"/>
      <c r="B33" s="553"/>
      <c r="C33" s="553"/>
      <c r="D33" s="553"/>
      <c r="E33" s="553"/>
    </row>
    <row r="34" spans="1:5" s="543" customFormat="1" ht="16.5" customHeight="1" x14ac:dyDescent="0.3">
      <c r="A34" s="552" t="s">
        <v>107</v>
      </c>
      <c r="B34" s="551" t="s">
        <v>106</v>
      </c>
      <c r="C34" s="550"/>
      <c r="D34" s="550"/>
      <c r="E34" s="550"/>
    </row>
    <row r="35" spans="1:5" ht="16.5" customHeight="1" x14ac:dyDescent="0.3">
      <c r="A35" s="552"/>
      <c r="B35" s="551" t="s">
        <v>105</v>
      </c>
      <c r="C35" s="550"/>
      <c r="D35" s="550"/>
      <c r="E35" s="550"/>
    </row>
    <row r="36" spans="1:5" ht="16.5" customHeight="1" x14ac:dyDescent="0.3">
      <c r="A36" s="552"/>
      <c r="B36" s="551" t="s">
        <v>104</v>
      </c>
      <c r="C36" s="550"/>
      <c r="D36" s="550"/>
      <c r="E36" s="550"/>
    </row>
    <row r="37" spans="1:5" ht="15.75" customHeight="1" x14ac:dyDescent="0.3">
      <c r="A37" s="553"/>
      <c r="B37" s="553"/>
      <c r="C37" s="553"/>
      <c r="D37" s="553"/>
      <c r="E37" s="553"/>
    </row>
    <row r="38" spans="1:5" ht="16.5" customHeight="1" x14ac:dyDescent="0.3">
      <c r="A38" s="575" t="s">
        <v>0</v>
      </c>
      <c r="B38" s="644" t="s">
        <v>117</v>
      </c>
    </row>
    <row r="39" spans="1:5" ht="16.5" customHeight="1" x14ac:dyDescent="0.3">
      <c r="A39" s="552" t="s">
        <v>1</v>
      </c>
      <c r="B39" s="682" t="str">
        <f>B18</f>
        <v>Tenofovir Disoproxil Fumarate</v>
      </c>
      <c r="C39" s="553"/>
      <c r="D39" s="553"/>
      <c r="E39" s="553"/>
    </row>
    <row r="40" spans="1:5" ht="16.5" customHeight="1" x14ac:dyDescent="0.3">
      <c r="A40" s="552" t="s">
        <v>2</v>
      </c>
      <c r="B40" s="574">
        <v>98.8</v>
      </c>
      <c r="C40" s="553"/>
      <c r="D40" s="553"/>
      <c r="E40" s="553"/>
    </row>
    <row r="41" spans="1:5" ht="16.5" customHeight="1" x14ac:dyDescent="0.3">
      <c r="A41" s="573" t="s">
        <v>116</v>
      </c>
      <c r="B41" s="574">
        <v>16.48</v>
      </c>
      <c r="C41" s="553"/>
      <c r="D41" s="553"/>
      <c r="E41" s="553"/>
    </row>
    <row r="42" spans="1:5" ht="16.5" customHeight="1" x14ac:dyDescent="0.3">
      <c r="A42" s="573" t="s">
        <v>115</v>
      </c>
      <c r="B42" s="572">
        <f>B41/25*10/20</f>
        <v>0.3296</v>
      </c>
      <c r="C42" s="553"/>
      <c r="D42" s="553"/>
      <c r="E42" s="553"/>
    </row>
    <row r="43" spans="1:5" ht="15.75" customHeight="1" x14ac:dyDescent="0.3">
      <c r="A43" s="553"/>
      <c r="B43" s="553"/>
      <c r="C43" s="553"/>
      <c r="D43" s="553"/>
      <c r="E43" s="553"/>
    </row>
    <row r="44" spans="1:5" ht="16.5" customHeight="1" x14ac:dyDescent="0.3">
      <c r="A44" s="570" t="s">
        <v>114</v>
      </c>
      <c r="B44" s="571" t="s">
        <v>113</v>
      </c>
      <c r="C44" s="570" t="s">
        <v>112</v>
      </c>
      <c r="D44" s="570" t="s">
        <v>111</v>
      </c>
      <c r="E44" s="570" t="s">
        <v>110</v>
      </c>
    </row>
    <row r="45" spans="1:5" ht="16.5" customHeight="1" x14ac:dyDescent="0.3">
      <c r="A45" s="568">
        <v>1</v>
      </c>
      <c r="B45" s="569">
        <v>66515987</v>
      </c>
      <c r="C45" s="645">
        <v>153930.29999999999</v>
      </c>
      <c r="D45" s="645">
        <v>1.1000000000000001</v>
      </c>
      <c r="E45" s="646">
        <v>15.4</v>
      </c>
    </row>
    <row r="46" spans="1:5" ht="16.5" customHeight="1" x14ac:dyDescent="0.3">
      <c r="A46" s="568">
        <v>2</v>
      </c>
      <c r="B46" s="569">
        <v>65112297</v>
      </c>
      <c r="C46" s="569">
        <v>153318.5</v>
      </c>
      <c r="D46" s="645">
        <v>1.2</v>
      </c>
      <c r="E46" s="645">
        <v>15.4</v>
      </c>
    </row>
    <row r="47" spans="1:5" ht="16.5" customHeight="1" x14ac:dyDescent="0.3">
      <c r="A47" s="568">
        <v>3</v>
      </c>
      <c r="B47" s="569">
        <v>64940332</v>
      </c>
      <c r="C47" s="569">
        <v>154152.9</v>
      </c>
      <c r="D47" s="645">
        <v>1.1000000000000001</v>
      </c>
      <c r="E47" s="645">
        <v>15.4</v>
      </c>
    </row>
    <row r="48" spans="1:5" ht="16.5" customHeight="1" x14ac:dyDescent="0.3">
      <c r="A48" s="568">
        <v>4</v>
      </c>
      <c r="B48" s="569">
        <v>65119629</v>
      </c>
      <c r="C48" s="569">
        <v>153605.4</v>
      </c>
      <c r="D48" s="645">
        <v>1.2</v>
      </c>
      <c r="E48" s="645">
        <v>15.4</v>
      </c>
    </row>
    <row r="49" spans="1:7" ht="16.5" customHeight="1" x14ac:dyDescent="0.3">
      <c r="A49" s="568">
        <v>5</v>
      </c>
      <c r="B49" s="569">
        <v>65904855</v>
      </c>
      <c r="C49" s="569">
        <v>153495.9</v>
      </c>
      <c r="D49" s="645">
        <v>1.2</v>
      </c>
      <c r="E49" s="645">
        <v>15.4</v>
      </c>
    </row>
    <row r="50" spans="1:7" ht="16.5" customHeight="1" x14ac:dyDescent="0.3">
      <c r="A50" s="568">
        <v>6</v>
      </c>
      <c r="B50" s="567">
        <v>66364008</v>
      </c>
      <c r="C50" s="567">
        <v>155618.9</v>
      </c>
      <c r="D50" s="647">
        <v>1.1000000000000001</v>
      </c>
      <c r="E50" s="647">
        <v>15.4</v>
      </c>
    </row>
    <row r="51" spans="1:7" ht="16.5" customHeight="1" x14ac:dyDescent="0.3">
      <c r="A51" s="566" t="s">
        <v>109</v>
      </c>
      <c r="B51" s="565">
        <f>AVERAGE(B45:B50)</f>
        <v>65659518</v>
      </c>
      <c r="C51" s="564">
        <f>AVERAGE(C45:C50)</f>
        <v>154020.31666666668</v>
      </c>
      <c r="D51" s="563">
        <f>AVERAGE(D45:D50)</f>
        <v>1.1500000000000001</v>
      </c>
      <c r="E51" s="563">
        <f>AVERAGE(E45:E50)</f>
        <v>15.4</v>
      </c>
    </row>
    <row r="52" spans="1:7" ht="16.5" customHeight="1" x14ac:dyDescent="0.3">
      <c r="A52" s="562" t="s">
        <v>108</v>
      </c>
      <c r="B52" s="561">
        <f>(STDEV(B45:B50)/B51)</f>
        <v>1.0547743376227088E-2</v>
      </c>
      <c r="C52" s="560"/>
      <c r="D52" s="560"/>
      <c r="E52" s="559"/>
    </row>
    <row r="53" spans="1:7" s="543" customFormat="1" ht="16.5" customHeight="1" x14ac:dyDescent="0.3">
      <c r="A53" s="558" t="s">
        <v>3</v>
      </c>
      <c r="B53" s="557">
        <f>COUNT(B45:B50)</f>
        <v>6</v>
      </c>
      <c r="C53" s="556"/>
      <c r="D53" s="555"/>
      <c r="E53" s="554"/>
    </row>
    <row r="54" spans="1:7" s="543" customFormat="1" ht="15.75" customHeight="1" x14ac:dyDescent="0.3">
      <c r="A54" s="553"/>
      <c r="B54" s="553"/>
      <c r="C54" s="553"/>
      <c r="D54" s="553"/>
      <c r="E54" s="553"/>
    </row>
    <row r="55" spans="1:7" s="543" customFormat="1" ht="16.5" customHeight="1" x14ac:dyDescent="0.3">
      <c r="A55" s="552" t="s">
        <v>107</v>
      </c>
      <c r="B55" s="551" t="s">
        <v>106</v>
      </c>
      <c r="C55" s="550"/>
      <c r="D55" s="550"/>
      <c r="E55" s="550"/>
    </row>
    <row r="56" spans="1:7" ht="16.5" customHeight="1" x14ac:dyDescent="0.3">
      <c r="A56" s="552"/>
      <c r="B56" s="551" t="s">
        <v>105</v>
      </c>
      <c r="C56" s="550"/>
      <c r="D56" s="550"/>
      <c r="E56" s="550"/>
    </row>
    <row r="57" spans="1:7" ht="16.5" customHeight="1" x14ac:dyDescent="0.3">
      <c r="A57" s="552"/>
      <c r="B57" s="551" t="s">
        <v>104</v>
      </c>
      <c r="C57" s="550"/>
      <c r="D57" s="550"/>
      <c r="E57" s="550"/>
    </row>
    <row r="58" spans="1:7" ht="14.25" customHeight="1" thickBot="1" x14ac:dyDescent="0.35">
      <c r="A58" s="549"/>
      <c r="B58" s="548"/>
      <c r="D58" s="547"/>
      <c r="F58" s="687"/>
      <c r="G58" s="542"/>
    </row>
    <row r="59" spans="1:7" ht="15" customHeight="1" x14ac:dyDescent="0.3">
      <c r="B59" s="705" t="s">
        <v>4</v>
      </c>
      <c r="C59" s="705"/>
      <c r="D59" s="546" t="s">
        <v>5</v>
      </c>
      <c r="E59" s="546" t="s">
        <v>6</v>
      </c>
      <c r="F59" s="686"/>
    </row>
    <row r="60" spans="1:7" ht="15" customHeight="1" x14ac:dyDescent="0.3">
      <c r="A60" s="544" t="s">
        <v>7</v>
      </c>
      <c r="B60" s="685"/>
      <c r="C60" s="685"/>
      <c r="D60" s="685"/>
      <c r="E60" s="685"/>
    </row>
    <row r="61" spans="1:7" ht="15" customHeight="1" x14ac:dyDescent="0.3">
      <c r="A61" s="544"/>
      <c r="B61" s="683"/>
      <c r="C61" s="683"/>
      <c r="D61" s="683"/>
      <c r="E61" s="683"/>
    </row>
    <row r="62" spans="1:7" ht="15" customHeight="1" x14ac:dyDescent="0.3">
      <c r="A62" s="544" t="s">
        <v>8</v>
      </c>
      <c r="B62" s="684"/>
      <c r="C62" s="684"/>
      <c r="D62" s="684"/>
      <c r="E62" s="54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3"/>
  <sheetViews>
    <sheetView view="pageBreakPreview" topLeftCell="A34" zoomScaleNormal="100" zoomScaleSheetLayoutView="100" workbookViewId="0">
      <selection activeCell="C51" sqref="C51"/>
    </sheetView>
  </sheetViews>
  <sheetFormatPr defaultColWidth="9.109375" defaultRowHeight="13.8" x14ac:dyDescent="0.3"/>
  <cols>
    <col min="1" max="1" width="27.5546875" style="543" customWidth="1"/>
    <col min="2" max="2" width="20.44140625" style="543" customWidth="1"/>
    <col min="3" max="3" width="31.88671875" style="543" customWidth="1"/>
    <col min="4" max="4" width="25.88671875" style="543" customWidth="1"/>
    <col min="5" max="5" width="25.6640625" style="543" customWidth="1"/>
    <col min="6" max="6" width="23.109375" style="543" customWidth="1"/>
    <col min="7" max="7" width="28.44140625" style="543" customWidth="1"/>
    <col min="8" max="8" width="21.5546875" style="543" customWidth="1"/>
    <col min="9" max="9" width="9.109375" style="543" customWidth="1"/>
    <col min="10" max="16384" width="9.109375" style="542"/>
  </cols>
  <sheetData>
    <row r="14" spans="1:6" s="543" customFormat="1" ht="15" customHeight="1" x14ac:dyDescent="0.3">
      <c r="A14" s="580"/>
      <c r="C14" s="579"/>
      <c r="F14" s="579"/>
    </row>
    <row r="15" spans="1:6" s="543" customFormat="1" ht="18.75" customHeight="1" x14ac:dyDescent="0.35">
      <c r="A15" s="704" t="s">
        <v>120</v>
      </c>
      <c r="B15" s="704"/>
      <c r="C15" s="704"/>
      <c r="D15" s="704"/>
      <c r="E15" s="704"/>
    </row>
    <row r="16" spans="1:6" s="543" customFormat="1" ht="16.5" customHeight="1" x14ac:dyDescent="0.3">
      <c r="A16" s="575" t="s">
        <v>0</v>
      </c>
      <c r="B16" s="644" t="s">
        <v>119</v>
      </c>
    </row>
    <row r="17" spans="1:5" s="543" customFormat="1" ht="16.5" customHeight="1" x14ac:dyDescent="0.3">
      <c r="A17" s="573" t="s">
        <v>118</v>
      </c>
      <c r="B17" s="681" t="s">
        <v>134</v>
      </c>
      <c r="D17" s="578"/>
      <c r="E17" s="553"/>
    </row>
    <row r="18" spans="1:5" s="543" customFormat="1" ht="16.5" customHeight="1" x14ac:dyDescent="0.3">
      <c r="A18" s="552" t="s">
        <v>1</v>
      </c>
      <c r="B18" s="681" t="s">
        <v>137</v>
      </c>
      <c r="C18" s="553"/>
      <c r="D18" s="553"/>
      <c r="E18" s="553"/>
    </row>
    <row r="19" spans="1:5" s="543" customFormat="1" ht="16.5" customHeight="1" x14ac:dyDescent="0.3">
      <c r="A19" s="552" t="s">
        <v>2</v>
      </c>
      <c r="B19" s="694">
        <v>99.3</v>
      </c>
      <c r="C19" s="553"/>
      <c r="D19" s="553"/>
      <c r="E19" s="553"/>
    </row>
    <row r="20" spans="1:5" s="543" customFormat="1" ht="16.5" customHeight="1" x14ac:dyDescent="0.3">
      <c r="A20" s="573" t="s">
        <v>116</v>
      </c>
      <c r="B20" s="693">
        <v>29.35</v>
      </c>
      <c r="C20" s="553"/>
      <c r="D20" s="553"/>
      <c r="E20" s="553"/>
    </row>
    <row r="21" spans="1:5" s="543" customFormat="1" ht="16.5" customHeight="1" x14ac:dyDescent="0.3">
      <c r="A21" s="573" t="s">
        <v>115</v>
      </c>
      <c r="B21" s="695">
        <f>B20/25*5/50</f>
        <v>0.11740000000000002</v>
      </c>
      <c r="C21" s="553"/>
      <c r="D21" s="553"/>
      <c r="E21" s="553"/>
    </row>
    <row r="22" spans="1:5" s="543" customFormat="1" ht="15.75" customHeight="1" x14ac:dyDescent="0.3">
      <c r="A22" s="553"/>
      <c r="B22" s="576"/>
      <c r="C22" s="553"/>
      <c r="D22" s="553"/>
      <c r="E22" s="553"/>
    </row>
    <row r="23" spans="1:5" s="543" customFormat="1" ht="16.5" customHeight="1" x14ac:dyDescent="0.3">
      <c r="A23" s="570" t="s">
        <v>114</v>
      </c>
      <c r="B23" s="571" t="s">
        <v>113</v>
      </c>
      <c r="C23" s="570" t="s">
        <v>112</v>
      </c>
      <c r="D23" s="570" t="s">
        <v>111</v>
      </c>
      <c r="E23" s="570" t="s">
        <v>110</v>
      </c>
    </row>
    <row r="24" spans="1:5" s="543" customFormat="1" ht="16.5" customHeight="1" x14ac:dyDescent="0.3">
      <c r="A24" s="568">
        <v>1</v>
      </c>
      <c r="B24" s="569">
        <v>45820174</v>
      </c>
      <c r="C24" s="645">
        <v>152797</v>
      </c>
      <c r="D24" s="645">
        <v>1.1000000000000001</v>
      </c>
      <c r="E24" s="646">
        <v>21.9</v>
      </c>
    </row>
    <row r="25" spans="1:5" s="543" customFormat="1" ht="16.5" customHeight="1" x14ac:dyDescent="0.3">
      <c r="A25" s="568">
        <v>2</v>
      </c>
      <c r="B25" s="569">
        <v>45629637</v>
      </c>
      <c r="C25" s="645">
        <v>153261.4</v>
      </c>
      <c r="D25" s="645">
        <v>1</v>
      </c>
      <c r="E25" s="645">
        <v>21.9</v>
      </c>
    </row>
    <row r="26" spans="1:5" s="543" customFormat="1" ht="16.5" customHeight="1" x14ac:dyDescent="0.3">
      <c r="A26" s="568">
        <v>3</v>
      </c>
      <c r="B26" s="569">
        <v>45688883</v>
      </c>
      <c r="C26" s="645">
        <v>153184.5</v>
      </c>
      <c r="D26" s="645">
        <v>1</v>
      </c>
      <c r="E26" s="645">
        <v>21.9</v>
      </c>
    </row>
    <row r="27" spans="1:5" s="543" customFormat="1" ht="16.5" customHeight="1" x14ac:dyDescent="0.3">
      <c r="A27" s="568">
        <v>4</v>
      </c>
      <c r="B27" s="569">
        <v>45695210</v>
      </c>
      <c r="C27" s="645">
        <v>153070.39999999999</v>
      </c>
      <c r="D27" s="645">
        <v>1</v>
      </c>
      <c r="E27" s="645">
        <v>21.9</v>
      </c>
    </row>
    <row r="28" spans="1:5" s="543" customFormat="1" ht="16.5" customHeight="1" x14ac:dyDescent="0.3">
      <c r="A28" s="568">
        <v>5</v>
      </c>
      <c r="B28" s="569">
        <v>45743469</v>
      </c>
      <c r="C28" s="645">
        <v>153260.4</v>
      </c>
      <c r="D28" s="645">
        <v>1.1000000000000001</v>
      </c>
      <c r="E28" s="645">
        <v>21.9</v>
      </c>
    </row>
    <row r="29" spans="1:5" s="543" customFormat="1" ht="16.5" customHeight="1" x14ac:dyDescent="0.3">
      <c r="A29" s="568">
        <v>6</v>
      </c>
      <c r="B29" s="567">
        <v>45982179</v>
      </c>
      <c r="C29" s="647">
        <v>153373.70000000001</v>
      </c>
      <c r="D29" s="647">
        <v>1</v>
      </c>
      <c r="E29" s="647">
        <v>21.9</v>
      </c>
    </row>
    <row r="30" spans="1:5" s="543" customFormat="1" ht="16.5" customHeight="1" x14ac:dyDescent="0.3">
      <c r="A30" s="566" t="s">
        <v>109</v>
      </c>
      <c r="B30" s="565">
        <f>AVERAGE(B24:B29)</f>
        <v>45759925.333333336</v>
      </c>
      <c r="C30" s="564">
        <f>AVERAGE(C24:C29)</f>
        <v>153157.90000000002</v>
      </c>
      <c r="D30" s="563">
        <f>AVERAGE(D24:D29)</f>
        <v>1.0333333333333332</v>
      </c>
      <c r="E30" s="563">
        <f>AVERAGE(E24:E29)</f>
        <v>21.900000000000002</v>
      </c>
    </row>
    <row r="31" spans="1:5" s="543" customFormat="1" ht="16.5" customHeight="1" x14ac:dyDescent="0.3">
      <c r="A31" s="562" t="s">
        <v>108</v>
      </c>
      <c r="B31" s="561">
        <f>(STDEV(B24:B29)/B30)</f>
        <v>2.7557121776182808E-3</v>
      </c>
      <c r="C31" s="560"/>
      <c r="D31" s="560"/>
      <c r="E31" s="559"/>
    </row>
    <row r="32" spans="1:5" s="543" customFormat="1" ht="16.5" customHeight="1" x14ac:dyDescent="0.3">
      <c r="A32" s="558" t="s">
        <v>3</v>
      </c>
      <c r="B32" s="557">
        <f>COUNT(B24:B29)</f>
        <v>6</v>
      </c>
      <c r="C32" s="556"/>
      <c r="D32" s="555"/>
      <c r="E32" s="554"/>
    </row>
    <row r="33" spans="1:5" s="543" customFormat="1" ht="15.75" customHeight="1" x14ac:dyDescent="0.3">
      <c r="A33" s="553"/>
      <c r="B33" s="553"/>
      <c r="C33" s="553"/>
      <c r="D33" s="553"/>
      <c r="E33" s="553"/>
    </row>
    <row r="34" spans="1:5" s="543" customFormat="1" ht="16.5" customHeight="1" x14ac:dyDescent="0.3">
      <c r="A34" s="552" t="s">
        <v>107</v>
      </c>
      <c r="B34" s="551" t="s">
        <v>106</v>
      </c>
      <c r="C34" s="550"/>
      <c r="D34" s="550"/>
      <c r="E34" s="550"/>
    </row>
    <row r="35" spans="1:5" s="543" customFormat="1" ht="16.5" customHeight="1" x14ac:dyDescent="0.3">
      <c r="A35" s="552"/>
      <c r="B35" s="551" t="s">
        <v>105</v>
      </c>
      <c r="C35" s="550"/>
      <c r="D35" s="550"/>
      <c r="E35" s="550"/>
    </row>
    <row r="36" spans="1:5" s="543" customFormat="1" ht="16.5" customHeight="1" x14ac:dyDescent="0.3">
      <c r="A36" s="552"/>
      <c r="B36" s="551" t="s">
        <v>104</v>
      </c>
      <c r="C36" s="550"/>
      <c r="D36" s="550"/>
      <c r="E36" s="550"/>
    </row>
    <row r="37" spans="1:5" s="543" customFormat="1" ht="15.75" customHeight="1" x14ac:dyDescent="0.3">
      <c r="A37" s="553"/>
      <c r="B37" s="553"/>
      <c r="C37" s="553"/>
      <c r="D37" s="553"/>
      <c r="E37" s="553"/>
    </row>
    <row r="38" spans="1:5" s="543" customFormat="1" ht="16.5" customHeight="1" x14ac:dyDescent="0.3">
      <c r="A38" s="575" t="s">
        <v>0</v>
      </c>
      <c r="B38" s="644" t="s">
        <v>117</v>
      </c>
    </row>
    <row r="39" spans="1:5" s="543" customFormat="1" ht="16.5" customHeight="1" x14ac:dyDescent="0.3">
      <c r="A39" s="552" t="s">
        <v>1</v>
      </c>
      <c r="B39" s="574" t="str">
        <f>B18</f>
        <v>Efavirenz</v>
      </c>
      <c r="C39" s="553"/>
      <c r="D39" s="553"/>
      <c r="E39" s="553"/>
    </row>
    <row r="40" spans="1:5" s="543" customFormat="1" ht="16.5" customHeight="1" x14ac:dyDescent="0.3">
      <c r="A40" s="552" t="s">
        <v>2</v>
      </c>
      <c r="B40" s="693">
        <v>99.3</v>
      </c>
      <c r="C40" s="553"/>
      <c r="D40" s="553"/>
      <c r="E40" s="553"/>
    </row>
    <row r="41" spans="1:5" s="543" customFormat="1" ht="16.5" customHeight="1" x14ac:dyDescent="0.3">
      <c r="A41" s="573" t="s">
        <v>116</v>
      </c>
      <c r="B41" s="693">
        <v>27.61</v>
      </c>
      <c r="C41" s="553"/>
      <c r="D41" s="553"/>
      <c r="E41" s="553"/>
    </row>
    <row r="42" spans="1:5" s="543" customFormat="1" ht="16.5" customHeight="1" x14ac:dyDescent="0.3">
      <c r="A42" s="573" t="s">
        <v>115</v>
      </c>
      <c r="B42" s="694">
        <f>B41/25*10/20</f>
        <v>0.55220000000000002</v>
      </c>
      <c r="C42" s="553"/>
      <c r="D42" s="553"/>
      <c r="E42" s="553"/>
    </row>
    <row r="43" spans="1:5" s="543" customFormat="1" ht="15.75" customHeight="1" x14ac:dyDescent="0.3">
      <c r="A43" s="553"/>
      <c r="B43" s="553"/>
      <c r="C43" s="553"/>
      <c r="D43" s="553"/>
      <c r="E43" s="553"/>
    </row>
    <row r="44" spans="1:5" s="543" customFormat="1" ht="16.5" customHeight="1" x14ac:dyDescent="0.3">
      <c r="A44" s="570" t="s">
        <v>114</v>
      </c>
      <c r="B44" s="571" t="s">
        <v>113</v>
      </c>
      <c r="C44" s="570" t="s">
        <v>112</v>
      </c>
      <c r="D44" s="570" t="s">
        <v>111</v>
      </c>
      <c r="E44" s="570" t="s">
        <v>110</v>
      </c>
    </row>
    <row r="45" spans="1:5" s="543" customFormat="1" ht="16.5" customHeight="1" x14ac:dyDescent="0.3">
      <c r="A45" s="568">
        <v>1</v>
      </c>
      <c r="B45" s="650">
        <v>185235996</v>
      </c>
      <c r="C45" s="648">
        <v>137308.6</v>
      </c>
      <c r="D45" s="645">
        <v>1.1000000000000001</v>
      </c>
      <c r="E45" s="646">
        <v>21.5</v>
      </c>
    </row>
    <row r="46" spans="1:5" s="543" customFormat="1" ht="16.5" customHeight="1" x14ac:dyDescent="0.3">
      <c r="A46" s="568">
        <v>2</v>
      </c>
      <c r="B46" s="650">
        <v>183604383</v>
      </c>
      <c r="C46" s="648">
        <v>137825.60000000001</v>
      </c>
      <c r="D46" s="645">
        <v>1.1000000000000001</v>
      </c>
      <c r="E46" s="645">
        <v>21.5</v>
      </c>
    </row>
    <row r="47" spans="1:5" s="543" customFormat="1" ht="16.5" customHeight="1" x14ac:dyDescent="0.3">
      <c r="A47" s="568">
        <v>3</v>
      </c>
      <c r="B47" s="650">
        <v>183315682</v>
      </c>
      <c r="C47" s="648">
        <v>137962.29999999999</v>
      </c>
      <c r="D47" s="645">
        <v>1.1000000000000001</v>
      </c>
      <c r="E47" s="645">
        <v>21.5</v>
      </c>
    </row>
    <row r="48" spans="1:5" s="543" customFormat="1" ht="16.5" customHeight="1" x14ac:dyDescent="0.3">
      <c r="A48" s="568">
        <v>4</v>
      </c>
      <c r="B48" s="650">
        <v>183559259</v>
      </c>
      <c r="C48" s="648">
        <v>137928.70000000001</v>
      </c>
      <c r="D48" s="645">
        <v>1.1000000000000001</v>
      </c>
      <c r="E48" s="645">
        <v>21.4</v>
      </c>
    </row>
    <row r="49" spans="1:7" s="543" customFormat="1" ht="16.5" customHeight="1" x14ac:dyDescent="0.3">
      <c r="A49" s="568">
        <v>5</v>
      </c>
      <c r="B49" s="650">
        <v>185884643</v>
      </c>
      <c r="C49" s="648">
        <v>137540.5</v>
      </c>
      <c r="D49" s="645">
        <v>1.1000000000000001</v>
      </c>
      <c r="E49" s="645">
        <v>21.5</v>
      </c>
    </row>
    <row r="50" spans="1:7" s="543" customFormat="1" ht="16.5" customHeight="1" x14ac:dyDescent="0.3">
      <c r="A50" s="568">
        <v>6</v>
      </c>
      <c r="B50" s="651">
        <v>187123195</v>
      </c>
      <c r="C50" s="649">
        <v>136706.79999999999</v>
      </c>
      <c r="D50" s="647">
        <v>1.1000000000000001</v>
      </c>
      <c r="E50" s="647">
        <v>21.4</v>
      </c>
    </row>
    <row r="51" spans="1:7" s="543" customFormat="1" ht="16.5" customHeight="1" x14ac:dyDescent="0.3">
      <c r="A51" s="566" t="s">
        <v>109</v>
      </c>
      <c r="B51" s="565">
        <f>AVERAGE(B45:B50)</f>
        <v>184787193</v>
      </c>
      <c r="C51" s="703">
        <f>AVERAGE(C45:C50)</f>
        <v>137545.41666666666</v>
      </c>
      <c r="D51" s="563">
        <f>AVERAGE(D45:D50)</f>
        <v>1.0999999999999999</v>
      </c>
      <c r="E51" s="563">
        <f>AVERAGE(E45:E50)</f>
        <v>21.466666666666669</v>
      </c>
    </row>
    <row r="52" spans="1:7" s="543" customFormat="1" ht="16.5" customHeight="1" x14ac:dyDescent="0.3">
      <c r="A52" s="562" t="s">
        <v>108</v>
      </c>
      <c r="B52" s="561">
        <f>(STDEV(B45:B50)/B51)</f>
        <v>8.3609014423746981E-3</v>
      </c>
      <c r="C52" s="560"/>
      <c r="D52" s="560"/>
      <c r="E52" s="559"/>
    </row>
    <row r="53" spans="1:7" s="543" customFormat="1" ht="16.5" customHeight="1" x14ac:dyDescent="0.3">
      <c r="A53" s="558" t="s">
        <v>3</v>
      </c>
      <c r="B53" s="557">
        <f>COUNT(B45:B50)</f>
        <v>6</v>
      </c>
      <c r="C53" s="556"/>
      <c r="D53" s="555"/>
      <c r="E53" s="554"/>
    </row>
    <row r="54" spans="1:7" s="543" customFormat="1" ht="15.75" customHeight="1" x14ac:dyDescent="0.3">
      <c r="A54" s="553"/>
      <c r="B54" s="553"/>
      <c r="C54" s="553"/>
      <c r="D54" s="553"/>
      <c r="E54" s="553"/>
    </row>
    <row r="55" spans="1:7" s="543" customFormat="1" ht="16.5" customHeight="1" x14ac:dyDescent="0.3">
      <c r="A55" s="552" t="s">
        <v>107</v>
      </c>
      <c r="B55" s="551" t="s">
        <v>106</v>
      </c>
      <c r="C55" s="550"/>
      <c r="D55" s="550"/>
      <c r="E55" s="550"/>
    </row>
    <row r="56" spans="1:7" s="543" customFormat="1" ht="16.5" customHeight="1" x14ac:dyDescent="0.3">
      <c r="A56" s="552"/>
      <c r="B56" s="551" t="s">
        <v>105</v>
      </c>
      <c r="C56" s="550"/>
      <c r="D56" s="550"/>
      <c r="E56" s="550"/>
    </row>
    <row r="57" spans="1:7" s="543" customFormat="1" ht="16.5" customHeight="1" x14ac:dyDescent="0.3">
      <c r="A57" s="552"/>
      <c r="B57" s="551" t="s">
        <v>104</v>
      </c>
      <c r="C57" s="550"/>
      <c r="D57" s="550"/>
      <c r="E57" s="550"/>
    </row>
    <row r="58" spans="1:7" s="543" customFormat="1" ht="14.25" customHeight="1" thickBot="1" x14ac:dyDescent="0.35">
      <c r="A58" s="549"/>
      <c r="B58" s="548"/>
      <c r="D58" s="547"/>
      <c r="F58" s="687"/>
      <c r="G58" s="542"/>
    </row>
    <row r="59" spans="1:7" s="543" customFormat="1" ht="15" customHeight="1" x14ac:dyDescent="0.3">
      <c r="B59" s="705" t="s">
        <v>4</v>
      </c>
      <c r="C59" s="705"/>
      <c r="D59" s="546" t="s">
        <v>5</v>
      </c>
      <c r="E59" s="546" t="s">
        <v>6</v>
      </c>
      <c r="F59" s="686"/>
    </row>
    <row r="60" spans="1:7" s="543" customFormat="1" ht="15" customHeight="1" x14ac:dyDescent="0.3">
      <c r="B60" s="692"/>
      <c r="C60" s="692"/>
      <c r="D60" s="692"/>
      <c r="E60" s="692"/>
      <c r="F60" s="686"/>
    </row>
    <row r="61" spans="1:7" s="543" customFormat="1" ht="15" customHeight="1" x14ac:dyDescent="0.3">
      <c r="A61" s="544" t="s">
        <v>7</v>
      </c>
      <c r="B61" s="706" t="s">
        <v>138</v>
      </c>
      <c r="C61" s="707"/>
      <c r="D61" s="689">
        <v>42500</v>
      </c>
      <c r="E61" s="545"/>
    </row>
    <row r="62" spans="1:7" s="543" customFormat="1" ht="15" customHeight="1" x14ac:dyDescent="0.3">
      <c r="A62" s="544"/>
      <c r="B62" s="683"/>
      <c r="C62" s="683"/>
      <c r="D62" s="688"/>
      <c r="G62" s="683"/>
    </row>
    <row r="63" spans="1:7" s="543" customFormat="1" ht="15" customHeight="1" x14ac:dyDescent="0.3">
      <c r="A63" s="544" t="s">
        <v>8</v>
      </c>
      <c r="B63" s="690"/>
      <c r="C63" s="690"/>
      <c r="D63" s="690"/>
      <c r="E63" s="685"/>
      <c r="F63" s="683"/>
      <c r="G63" s="683"/>
    </row>
  </sheetData>
  <sheetProtection formatCells="0" formatColumns="0" formatRows="0" insertColumns="0" insertRows="0" insertHyperlinks="0" deleteColumns="0" deleteRows="0" sort="0" autoFilter="0" pivotTables="0"/>
  <mergeCells count="3">
    <mergeCell ref="A15:E15"/>
    <mergeCell ref="B59:C59"/>
    <mergeCell ref="B61:C61"/>
  </mergeCells>
  <pageMargins left="0.7" right="0.7" top="0.75" bottom="0.75" header="0.3" footer="0.3"/>
  <pageSetup scale="7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19" workbookViewId="0">
      <selection activeCell="C24" sqref="C24"/>
    </sheetView>
  </sheetViews>
  <sheetFormatPr defaultColWidth="9.109375" defaultRowHeight="15.6" x14ac:dyDescent="0.3"/>
  <cols>
    <col min="1" max="1" width="13.109375" style="598" customWidth="1"/>
    <col min="2" max="2" width="19.33203125" style="621" customWidth="1"/>
    <col min="3" max="3" width="18.88671875" style="598" customWidth="1"/>
    <col min="4" max="4" width="21.21875" style="594" customWidth="1"/>
    <col min="5" max="5" width="18.44140625" style="598" customWidth="1"/>
    <col min="6" max="6" width="6.44140625" style="591" customWidth="1"/>
    <col min="7" max="7" width="17.109375" style="591" customWidth="1"/>
    <col min="8" max="8" width="13.109375" style="591" customWidth="1"/>
    <col min="9" max="9" width="11" style="591" customWidth="1"/>
    <col min="10" max="10" width="15" style="591" customWidth="1"/>
    <col min="11" max="11" width="7.5546875" style="591" customWidth="1"/>
    <col min="12" max="12" width="13.109375" style="591" customWidth="1"/>
    <col min="13" max="13" width="11" style="591" customWidth="1"/>
    <col min="14" max="14" width="12.33203125" style="591" customWidth="1"/>
    <col min="15" max="15" width="6.5546875" style="591" customWidth="1"/>
    <col min="16" max="16" width="9.109375" style="591"/>
    <col min="17" max="16384" width="9.109375" style="542"/>
  </cols>
  <sheetData>
    <row r="1" spans="1:15" ht="13.8" x14ac:dyDescent="0.3">
      <c r="A1" s="586"/>
      <c r="B1" s="587"/>
      <c r="C1" s="586"/>
      <c r="D1" s="588"/>
      <c r="E1" s="589"/>
      <c r="F1" s="587"/>
      <c r="G1" s="589"/>
      <c r="H1" s="589"/>
      <c r="I1" s="587"/>
      <c r="J1" s="589"/>
      <c r="K1" s="590"/>
      <c r="L1" s="589"/>
      <c r="M1" s="587"/>
      <c r="N1" s="589"/>
      <c r="O1" s="587"/>
    </row>
    <row r="2" spans="1:15" ht="13.8" x14ac:dyDescent="0.3">
      <c r="A2" s="586"/>
      <c r="B2" s="587"/>
      <c r="C2" s="586"/>
      <c r="D2" s="588"/>
      <c r="E2" s="592"/>
      <c r="F2" s="587"/>
      <c r="G2" s="592"/>
      <c r="H2" s="592"/>
      <c r="I2" s="587"/>
      <c r="J2" s="592"/>
      <c r="K2" s="590"/>
      <c r="L2" s="592"/>
      <c r="M2" s="590"/>
      <c r="N2" s="592"/>
      <c r="O2" s="590"/>
    </row>
    <row r="3" spans="1:15" ht="13.8" x14ac:dyDescent="0.3">
      <c r="A3" s="586"/>
      <c r="B3" s="587"/>
      <c r="C3" s="586"/>
      <c r="D3" s="588"/>
      <c r="E3" s="592"/>
      <c r="F3" s="587"/>
      <c r="G3" s="592"/>
      <c r="H3" s="592"/>
      <c r="I3" s="587"/>
      <c r="J3" s="592"/>
      <c r="K3" s="590"/>
      <c r="L3" s="592"/>
      <c r="M3" s="590"/>
      <c r="N3" s="592"/>
      <c r="O3" s="590"/>
    </row>
    <row r="4" spans="1:15" ht="13.8" x14ac:dyDescent="0.3">
      <c r="A4" s="586"/>
      <c r="B4" s="587"/>
      <c r="C4" s="586"/>
      <c r="D4" s="588"/>
      <c r="E4" s="592"/>
      <c r="F4" s="587"/>
      <c r="G4" s="592"/>
      <c r="H4" s="592"/>
      <c r="I4" s="587"/>
      <c r="J4" s="592"/>
      <c r="K4" s="590"/>
      <c r="L4" s="592"/>
      <c r="M4" s="590"/>
      <c r="N4" s="592"/>
      <c r="O4" s="590"/>
    </row>
    <row r="5" spans="1:15" ht="13.8" x14ac:dyDescent="0.3">
      <c r="A5" s="586"/>
      <c r="B5" s="587"/>
      <c r="C5" s="586"/>
      <c r="D5" s="588"/>
      <c r="E5" s="592"/>
      <c r="F5" s="587"/>
      <c r="G5" s="592"/>
      <c r="H5" s="592"/>
      <c r="I5" s="587"/>
      <c r="J5" s="592"/>
      <c r="K5" s="590"/>
      <c r="L5" s="592"/>
      <c r="M5" s="590"/>
      <c r="N5" s="592"/>
      <c r="O5" s="590"/>
    </row>
    <row r="6" spans="1:15" ht="13.8" x14ac:dyDescent="0.3">
      <c r="A6" s="586"/>
      <c r="B6" s="587"/>
      <c r="C6" s="586"/>
      <c r="D6" s="588"/>
      <c r="E6" s="592"/>
      <c r="F6" s="587"/>
      <c r="G6" s="592"/>
      <c r="H6" s="592"/>
      <c r="I6" s="587"/>
      <c r="J6" s="592"/>
      <c r="K6" s="590"/>
      <c r="L6" s="592"/>
      <c r="M6" s="590"/>
      <c r="N6" s="592"/>
      <c r="O6" s="590"/>
    </row>
    <row r="7" spans="1:15" ht="13.8" x14ac:dyDescent="0.3">
      <c r="A7" s="586"/>
      <c r="B7" s="587"/>
      <c r="C7" s="586"/>
      <c r="D7" s="588"/>
      <c r="E7" s="592"/>
      <c r="F7" s="587"/>
      <c r="G7" s="592"/>
      <c r="H7" s="592"/>
      <c r="I7" s="587"/>
      <c r="J7" s="592"/>
      <c r="K7" s="590"/>
      <c r="L7" s="592"/>
      <c r="M7" s="590"/>
      <c r="N7" s="592"/>
      <c r="O7" s="590"/>
    </row>
    <row r="8" spans="1:15" ht="19.5" customHeight="1" x14ac:dyDescent="0.3">
      <c r="A8" s="709" t="s">
        <v>9</v>
      </c>
      <c r="B8" s="709"/>
      <c r="C8" s="709"/>
      <c r="D8" s="709"/>
      <c r="E8" s="709"/>
      <c r="F8" s="709"/>
      <c r="G8" s="709"/>
      <c r="H8" s="592"/>
      <c r="I8" s="587"/>
      <c r="J8" s="592"/>
      <c r="K8" s="590"/>
      <c r="L8" s="592"/>
      <c r="M8" s="590"/>
      <c r="N8" s="592"/>
      <c r="O8" s="590"/>
    </row>
    <row r="9" spans="1:15" ht="19.5" customHeight="1" x14ac:dyDescent="0.3">
      <c r="A9" s="593"/>
      <c r="B9" s="593"/>
      <c r="C9" s="593"/>
      <c r="D9" s="593"/>
      <c r="E9" s="593"/>
      <c r="F9" s="593"/>
      <c r="G9" s="593"/>
      <c r="H9" s="592"/>
      <c r="I9" s="587"/>
      <c r="J9" s="592"/>
      <c r="K9" s="590"/>
      <c r="L9" s="592"/>
      <c r="M9" s="590"/>
      <c r="N9" s="592"/>
      <c r="O9" s="590"/>
    </row>
    <row r="10" spans="1:15" ht="16.5" customHeight="1" x14ac:dyDescent="0.3">
      <c r="A10" s="710" t="s">
        <v>10</v>
      </c>
      <c r="B10" s="710"/>
      <c r="C10" s="710"/>
      <c r="D10" s="710"/>
      <c r="E10" s="710"/>
      <c r="F10" s="710"/>
      <c r="G10" s="710"/>
      <c r="H10" s="592"/>
      <c r="I10" s="587"/>
      <c r="J10" s="592"/>
      <c r="K10" s="590"/>
      <c r="L10" s="592"/>
      <c r="M10" s="590"/>
      <c r="N10" s="592"/>
      <c r="O10" s="590"/>
    </row>
    <row r="11" spans="1:15" ht="15" customHeight="1" x14ac:dyDescent="0.3">
      <c r="A11" s="708" t="s">
        <v>11</v>
      </c>
      <c r="B11" s="708"/>
      <c r="C11" s="586" t="s">
        <v>122</v>
      </c>
      <c r="E11" s="592"/>
      <c r="F11" s="587"/>
      <c r="G11" s="592"/>
      <c r="H11" s="592"/>
      <c r="I11" s="587"/>
      <c r="J11" s="592"/>
      <c r="K11" s="590"/>
      <c r="L11" s="592"/>
      <c r="M11" s="590"/>
      <c r="N11" s="592"/>
      <c r="O11" s="590"/>
    </row>
    <row r="12" spans="1:15" ht="15" customHeight="1" x14ac:dyDescent="0.3">
      <c r="A12" s="708" t="s">
        <v>12</v>
      </c>
      <c r="B12" s="708"/>
      <c r="C12" s="586" t="s">
        <v>139</v>
      </c>
      <c r="E12" s="592"/>
      <c r="F12" s="587"/>
      <c r="G12" s="592"/>
      <c r="H12" s="592"/>
      <c r="I12" s="587"/>
      <c r="J12" s="592"/>
      <c r="K12" s="590"/>
      <c r="L12" s="592"/>
      <c r="M12" s="590"/>
      <c r="N12" s="592"/>
      <c r="O12" s="590"/>
    </row>
    <row r="13" spans="1:15" ht="15" customHeight="1" x14ac:dyDescent="0.3">
      <c r="A13" s="708" t="s">
        <v>13</v>
      </c>
      <c r="B13" s="708"/>
      <c r="C13" s="586" t="s">
        <v>123</v>
      </c>
      <c r="E13" s="592"/>
      <c r="F13" s="587"/>
      <c r="G13" s="592"/>
      <c r="H13" s="592"/>
      <c r="I13" s="587"/>
      <c r="J13" s="592"/>
      <c r="K13" s="590"/>
      <c r="L13" s="592"/>
      <c r="M13" s="590"/>
      <c r="N13" s="592"/>
      <c r="O13" s="590"/>
    </row>
    <row r="14" spans="1:15" ht="15" customHeight="1" x14ac:dyDescent="0.3">
      <c r="A14" s="708" t="s">
        <v>14</v>
      </c>
      <c r="B14" s="708"/>
      <c r="C14" s="595" t="s">
        <v>124</v>
      </c>
      <c r="D14" s="596"/>
      <c r="E14" s="596"/>
      <c r="F14" s="596"/>
      <c r="G14" s="596"/>
      <c r="H14" s="592"/>
      <c r="I14" s="587"/>
      <c r="J14" s="592"/>
      <c r="K14" s="590"/>
      <c r="L14" s="592"/>
      <c r="M14" s="590"/>
      <c r="N14" s="592"/>
      <c r="O14" s="590"/>
    </row>
    <row r="15" spans="1:15" ht="15" customHeight="1" x14ac:dyDescent="0.3">
      <c r="A15" s="708" t="s">
        <v>15</v>
      </c>
      <c r="B15" s="708"/>
      <c r="C15" s="597"/>
      <c r="D15" s="586"/>
      <c r="E15" s="592"/>
      <c r="F15" s="587"/>
      <c r="G15" s="592"/>
      <c r="H15" s="592"/>
      <c r="I15" s="587"/>
      <c r="J15" s="592"/>
      <c r="K15" s="590"/>
      <c r="L15" s="592"/>
      <c r="M15" s="590"/>
      <c r="N15" s="592"/>
      <c r="O15" s="590"/>
    </row>
    <row r="16" spans="1:15" ht="15" customHeight="1" x14ac:dyDescent="0.3">
      <c r="A16" s="708" t="s">
        <v>16</v>
      </c>
      <c r="B16" s="708"/>
      <c r="C16" s="597"/>
      <c r="D16" s="586"/>
      <c r="E16" s="592"/>
      <c r="F16" s="587"/>
      <c r="G16" s="592"/>
      <c r="H16" s="592"/>
      <c r="I16" s="587"/>
      <c r="J16" s="592"/>
      <c r="K16" s="590"/>
      <c r="L16" s="592"/>
      <c r="M16" s="590"/>
      <c r="N16" s="592"/>
      <c r="O16" s="590"/>
    </row>
    <row r="17" spans="1:15" ht="14.4" x14ac:dyDescent="0.3">
      <c r="B17" s="599"/>
      <c r="D17" s="586"/>
      <c r="E17" s="592"/>
      <c r="F17" s="587"/>
      <c r="G17" s="592"/>
      <c r="H17" s="592"/>
      <c r="I17" s="587"/>
      <c r="J17" s="592"/>
      <c r="K17" s="590"/>
      <c r="L17" s="592"/>
      <c r="M17" s="590"/>
      <c r="N17" s="592"/>
      <c r="O17" s="590"/>
    </row>
    <row r="18" spans="1:15" ht="15" customHeight="1" x14ac:dyDescent="0.3">
      <c r="A18" s="711" t="s">
        <v>0</v>
      </c>
      <c r="B18" s="711"/>
      <c r="C18" s="600" t="s">
        <v>17</v>
      </c>
      <c r="D18" s="586"/>
      <c r="E18" s="592"/>
      <c r="F18" s="587"/>
      <c r="G18" s="592"/>
      <c r="H18" s="592"/>
      <c r="I18" s="587"/>
      <c r="J18" s="592"/>
      <c r="K18" s="590"/>
      <c r="L18" s="592"/>
      <c r="M18" s="590"/>
      <c r="N18" s="592"/>
      <c r="O18" s="590"/>
    </row>
    <row r="19" spans="1:15" ht="15.75" customHeight="1" thickBot="1" x14ac:dyDescent="0.35">
      <c r="A19" s="591"/>
      <c r="B19" s="586"/>
      <c r="D19" s="586"/>
      <c r="E19" s="592"/>
      <c r="F19" s="587"/>
      <c r="G19" s="592"/>
      <c r="H19" s="592"/>
      <c r="I19" s="587"/>
      <c r="J19" s="592"/>
      <c r="K19" s="590"/>
      <c r="L19" s="592"/>
      <c r="M19" s="590"/>
      <c r="N19" s="592"/>
      <c r="O19" s="590"/>
    </row>
    <row r="20" spans="1:15" ht="15.75" customHeight="1" thickBot="1" x14ac:dyDescent="0.35">
      <c r="B20" s="601" t="s">
        <v>121</v>
      </c>
      <c r="C20" s="640" t="s">
        <v>125</v>
      </c>
      <c r="D20" s="641" t="s">
        <v>18</v>
      </c>
      <c r="G20" s="592"/>
      <c r="H20" s="602"/>
      <c r="I20" s="587"/>
      <c r="J20" s="592"/>
      <c r="K20" s="590"/>
      <c r="L20" s="602"/>
      <c r="M20" s="590"/>
      <c r="N20" s="602"/>
      <c r="O20" s="590"/>
    </row>
    <row r="21" spans="1:15" ht="14.4" x14ac:dyDescent="0.3">
      <c r="B21" s="603">
        <v>1</v>
      </c>
      <c r="C21" s="636">
        <v>1747.46</v>
      </c>
      <c r="D21" s="642">
        <f>(C21-$C$44)/$C$44</f>
        <v>-1.025086396174371E-2</v>
      </c>
      <c r="G21" s="592"/>
      <c r="H21" s="602"/>
      <c r="I21" s="587"/>
      <c r="J21" s="592"/>
      <c r="K21" s="590"/>
      <c r="L21" s="602"/>
      <c r="M21" s="590"/>
      <c r="N21" s="602"/>
      <c r="O21" s="590"/>
    </row>
    <row r="22" spans="1:15" ht="14.4" x14ac:dyDescent="0.3">
      <c r="B22" s="604">
        <v>2</v>
      </c>
      <c r="C22" s="637">
        <v>1754.64</v>
      </c>
      <c r="D22" s="642">
        <f t="shared" ref="D22:D40" si="0">(C22-$C$44)/$C$44</f>
        <v>-6.1841621220708465E-3</v>
      </c>
      <c r="G22" s="592"/>
      <c r="H22" s="602"/>
      <c r="I22" s="587"/>
      <c r="J22" s="592"/>
      <c r="K22" s="590"/>
      <c r="L22" s="602"/>
      <c r="M22" s="590"/>
      <c r="N22" s="602"/>
      <c r="O22" s="590"/>
    </row>
    <row r="23" spans="1:15" ht="14.4" x14ac:dyDescent="0.3">
      <c r="B23" s="604">
        <v>3</v>
      </c>
      <c r="C23" s="637">
        <v>1782.66</v>
      </c>
      <c r="D23" s="642">
        <f t="shared" si="0"/>
        <v>9.6861701269030497E-3</v>
      </c>
      <c r="G23" s="592"/>
      <c r="H23" s="602"/>
      <c r="I23" s="587"/>
      <c r="J23" s="592"/>
      <c r="K23" s="590"/>
      <c r="L23" s="602"/>
      <c r="M23" s="590"/>
      <c r="N23" s="602"/>
      <c r="O23" s="590"/>
    </row>
    <row r="24" spans="1:15" ht="14.4" x14ac:dyDescent="0.3">
      <c r="B24" s="604">
        <v>4</v>
      </c>
      <c r="C24" s="637">
        <v>1763.7</v>
      </c>
      <c r="D24" s="642">
        <f t="shared" si="0"/>
        <v>-1.0526414162998713E-3</v>
      </c>
      <c r="G24" s="592"/>
      <c r="H24" s="602"/>
      <c r="I24" s="587"/>
      <c r="J24" s="592"/>
      <c r="K24" s="590"/>
      <c r="L24" s="602"/>
      <c r="M24" s="590"/>
      <c r="N24" s="602"/>
      <c r="O24" s="590"/>
    </row>
    <row r="25" spans="1:15" ht="14.4" x14ac:dyDescent="0.3">
      <c r="B25" s="604">
        <v>5</v>
      </c>
      <c r="C25" s="637">
        <v>1756.15</v>
      </c>
      <c r="D25" s="642">
        <f t="shared" si="0"/>
        <v>-5.3289086711090167E-3</v>
      </c>
      <c r="G25" s="592"/>
      <c r="H25" s="602"/>
      <c r="I25" s="587"/>
      <c r="J25" s="592"/>
      <c r="K25" s="590"/>
      <c r="L25" s="602"/>
      <c r="M25" s="590"/>
      <c r="N25" s="602"/>
      <c r="O25" s="590"/>
    </row>
    <row r="26" spans="1:15" ht="14.4" x14ac:dyDescent="0.3">
      <c r="B26" s="604">
        <v>6</v>
      </c>
      <c r="C26" s="637">
        <v>1784.23</v>
      </c>
      <c r="D26" s="642">
        <f t="shared" si="0"/>
        <v>1.0575407158697767E-2</v>
      </c>
      <c r="G26" s="592"/>
      <c r="H26" s="602"/>
      <c r="I26" s="587"/>
      <c r="J26" s="592"/>
      <c r="K26" s="590"/>
      <c r="L26" s="602"/>
      <c r="M26" s="590"/>
      <c r="N26" s="602"/>
      <c r="O26" s="590"/>
    </row>
    <row r="27" spans="1:15" ht="14.4" x14ac:dyDescent="0.3">
      <c r="B27" s="604">
        <v>7</v>
      </c>
      <c r="C27" s="637">
        <v>1802.2</v>
      </c>
      <c r="D27" s="642">
        <f t="shared" si="0"/>
        <v>2.0753489618157494E-2</v>
      </c>
      <c r="G27" s="592"/>
      <c r="H27" s="602"/>
      <c r="I27" s="587"/>
      <c r="J27" s="592"/>
      <c r="K27" s="590"/>
      <c r="L27" s="602"/>
      <c r="M27" s="590"/>
      <c r="N27" s="602"/>
      <c r="O27" s="590"/>
    </row>
    <row r="28" spans="1:15" ht="14.4" x14ac:dyDescent="0.3">
      <c r="B28" s="604">
        <v>8</v>
      </c>
      <c r="C28" s="637">
        <v>1764.25</v>
      </c>
      <c r="D28" s="642">
        <f t="shared" si="0"/>
        <v>-7.4112525866479176E-4</v>
      </c>
      <c r="G28" s="592"/>
      <c r="H28" s="602"/>
      <c r="I28" s="587"/>
      <c r="J28" s="592"/>
      <c r="K28" s="590"/>
      <c r="L28" s="602"/>
      <c r="M28" s="590"/>
      <c r="N28" s="602"/>
      <c r="O28" s="590"/>
    </row>
    <row r="29" spans="1:15" ht="14.4" x14ac:dyDescent="0.3">
      <c r="B29" s="604">
        <v>9</v>
      </c>
      <c r="C29" s="637">
        <v>1747.88</v>
      </c>
      <c r="D29" s="642">
        <f t="shared" si="0"/>
        <v>-1.0012978895913224E-2</v>
      </c>
      <c r="G29" s="592"/>
      <c r="H29" s="602"/>
      <c r="I29" s="587"/>
      <c r="J29" s="592"/>
      <c r="K29" s="590"/>
      <c r="L29" s="602"/>
      <c r="M29" s="590"/>
      <c r="N29" s="602"/>
      <c r="O29" s="590"/>
    </row>
    <row r="30" spans="1:15" ht="14.4" x14ac:dyDescent="0.3">
      <c r="B30" s="604">
        <v>10</v>
      </c>
      <c r="C30" s="638">
        <v>1771.96</v>
      </c>
      <c r="D30" s="642">
        <f t="shared" si="0"/>
        <v>3.6257648783655219E-3</v>
      </c>
      <c r="G30" s="592"/>
      <c r="H30" s="602"/>
      <c r="I30" s="587"/>
      <c r="J30" s="592"/>
      <c r="K30" s="590"/>
      <c r="L30" s="602"/>
      <c r="M30" s="590"/>
      <c r="N30" s="602"/>
      <c r="O30" s="590"/>
    </row>
    <row r="31" spans="1:15" ht="14.4" x14ac:dyDescent="0.3">
      <c r="B31" s="604">
        <v>11</v>
      </c>
      <c r="C31" s="638">
        <v>1754.98</v>
      </c>
      <c r="D31" s="642">
        <f t="shared" si="0"/>
        <v>-5.9915884973510093E-3</v>
      </c>
      <c r="G31" s="605"/>
      <c r="H31" s="605"/>
      <c r="I31" s="605"/>
      <c r="J31" s="605"/>
      <c r="K31" s="590"/>
      <c r="L31" s="605"/>
      <c r="M31" s="590"/>
      <c r="N31" s="605"/>
      <c r="O31" s="590"/>
    </row>
    <row r="32" spans="1:15" ht="14.4" x14ac:dyDescent="0.3">
      <c r="B32" s="604">
        <v>12</v>
      </c>
      <c r="C32" s="638">
        <v>1749.28</v>
      </c>
      <c r="D32" s="642">
        <f t="shared" si="0"/>
        <v>-9.2200286764784894E-3</v>
      </c>
      <c r="G32" s="605"/>
      <c r="H32" s="605"/>
      <c r="I32" s="605"/>
      <c r="J32" s="605"/>
      <c r="K32" s="590"/>
      <c r="L32" s="605"/>
      <c r="M32" s="605"/>
      <c r="N32" s="605"/>
      <c r="O32" s="605"/>
    </row>
    <row r="33" spans="2:15" ht="14.4" x14ac:dyDescent="0.3">
      <c r="B33" s="604">
        <v>13</v>
      </c>
      <c r="C33" s="638">
        <v>1765.58</v>
      </c>
      <c r="D33" s="642">
        <f t="shared" si="0"/>
        <v>1.2177449798239637E-5</v>
      </c>
      <c r="G33" s="606"/>
      <c r="H33" s="606"/>
      <c r="I33" s="606"/>
      <c r="J33" s="606"/>
      <c r="K33" s="607"/>
      <c r="L33" s="606"/>
      <c r="M33" s="606"/>
      <c r="N33" s="608"/>
      <c r="O33" s="606"/>
    </row>
    <row r="34" spans="2:15" ht="14.4" x14ac:dyDescent="0.3">
      <c r="B34" s="604">
        <v>14</v>
      </c>
      <c r="C34" s="638">
        <v>1775.66</v>
      </c>
      <c r="D34" s="642">
        <f t="shared" si="0"/>
        <v>5.7214190297289825E-3</v>
      </c>
      <c r="G34" s="609"/>
      <c r="H34" s="610"/>
      <c r="I34" s="610"/>
      <c r="J34" s="609"/>
      <c r="K34" s="611"/>
      <c r="L34" s="612"/>
      <c r="M34" s="610"/>
      <c r="N34" s="612"/>
      <c r="O34" s="610"/>
    </row>
    <row r="35" spans="2:15" ht="14.4" x14ac:dyDescent="0.3">
      <c r="B35" s="604">
        <v>15</v>
      </c>
      <c r="C35" s="638">
        <v>1772.71</v>
      </c>
      <c r="D35" s="642">
        <f t="shared" si="0"/>
        <v>4.0505596387770291E-3</v>
      </c>
      <c r="G35" s="609"/>
      <c r="J35" s="609"/>
      <c r="K35" s="611"/>
      <c r="L35" s="612"/>
      <c r="N35" s="612"/>
    </row>
    <row r="36" spans="2:15" ht="14.4" x14ac:dyDescent="0.3">
      <c r="B36" s="604">
        <v>16</v>
      </c>
      <c r="C36" s="638">
        <v>1745.64</v>
      </c>
      <c r="D36" s="642">
        <f t="shared" si="0"/>
        <v>-1.1281699247008932E-2</v>
      </c>
      <c r="G36" s="613"/>
      <c r="H36" s="613"/>
    </row>
    <row r="37" spans="2:15" ht="14.4" x14ac:dyDescent="0.3">
      <c r="B37" s="604">
        <v>17</v>
      </c>
      <c r="C37" s="638">
        <v>1765.06</v>
      </c>
      <c r="D37" s="642">
        <f t="shared" si="0"/>
        <v>-2.8234691742039497E-4</v>
      </c>
    </row>
    <row r="38" spans="2:15" ht="14.4" x14ac:dyDescent="0.3">
      <c r="B38" s="604">
        <v>18</v>
      </c>
      <c r="C38" s="638">
        <v>1755.61</v>
      </c>
      <c r="D38" s="642">
        <f t="shared" si="0"/>
        <v>-5.6347608986054105E-3</v>
      </c>
    </row>
    <row r="39" spans="2:15" ht="14.4" x14ac:dyDescent="0.3">
      <c r="B39" s="604">
        <v>19</v>
      </c>
      <c r="C39" s="638">
        <v>1780.62</v>
      </c>
      <c r="D39" s="642">
        <f t="shared" si="0"/>
        <v>8.5307283785836414E-3</v>
      </c>
    </row>
    <row r="40" spans="2:15" ht="14.25" customHeight="1" thickBot="1" x14ac:dyDescent="0.35">
      <c r="B40" s="614">
        <v>20</v>
      </c>
      <c r="C40" s="639">
        <v>1770.9</v>
      </c>
      <c r="D40" s="643">
        <f t="shared" si="0"/>
        <v>3.0253882836506229E-3</v>
      </c>
    </row>
    <row r="41" spans="2:15" ht="14.25" customHeight="1" x14ac:dyDescent="0.3">
      <c r="B41" s="599"/>
      <c r="D41" s="615"/>
      <c r="F41" s="620"/>
      <c r="G41" s="592"/>
    </row>
    <row r="42" spans="2:15" ht="16.2" thickBot="1" x14ac:dyDescent="0.35"/>
    <row r="43" spans="2:15" ht="15.75" customHeight="1" x14ac:dyDescent="0.3">
      <c r="B43" s="622" t="s">
        <v>19</v>
      </c>
      <c r="C43" s="696">
        <f>SUM(C21:C40)</f>
        <v>35311.170000000006</v>
      </c>
    </row>
    <row r="44" spans="2:15" ht="16.2" thickBot="1" x14ac:dyDescent="0.35">
      <c r="B44" s="623" t="s">
        <v>20</v>
      </c>
      <c r="C44" s="697">
        <f>AVERAGE(C21:C40)</f>
        <v>1765.5585000000003</v>
      </c>
      <c r="M44" s="598"/>
    </row>
    <row r="45" spans="2:15" ht="14.25" customHeight="1" thickBot="1" x14ac:dyDescent="0.35">
      <c r="M45" s="598"/>
    </row>
    <row r="46" spans="2:15" ht="30.75" customHeight="1" thickBot="1" x14ac:dyDescent="0.35">
      <c r="B46" s="625" t="s">
        <v>20</v>
      </c>
      <c r="C46" s="626" t="s">
        <v>21</v>
      </c>
      <c r="I46" s="586"/>
      <c r="J46" s="616"/>
      <c r="K46" s="616"/>
      <c r="L46" s="586"/>
      <c r="M46" s="598"/>
    </row>
    <row r="47" spans="2:15" ht="15.75" customHeight="1" thickBot="1" x14ac:dyDescent="0.35">
      <c r="B47" s="712">
        <f>C44</f>
        <v>1765.5585000000003</v>
      </c>
      <c r="C47" s="627">
        <f>-IF(C44&lt;=80,10%,IF(C44&lt;250,7.5%,5%))</f>
        <v>-0.05</v>
      </c>
      <c r="D47" s="629">
        <f>IF(C44&lt;=80,C44*0.9,IF(C44&lt;250,C44*0.925,C44*0.95))</f>
        <v>1677.2805750000002</v>
      </c>
      <c r="I47" s="586"/>
      <c r="J47" s="586"/>
      <c r="K47" s="586"/>
      <c r="L47" s="586"/>
      <c r="M47" s="598"/>
    </row>
    <row r="48" spans="2:15" ht="15.75" customHeight="1" thickBot="1" x14ac:dyDescent="0.35">
      <c r="B48" s="713"/>
      <c r="C48" s="628">
        <f>IF(C44&lt;=80, 10%, IF(C44&lt;250, 7.5%, 5%))</f>
        <v>0.05</v>
      </c>
      <c r="D48" s="630">
        <f>IF(C44&lt;=80, C44*1.1, IF(C44&lt;250, C44*1.075, C44*1.05))</f>
        <v>1853.8364250000004</v>
      </c>
    </row>
    <row r="49" spans="1:15" ht="14.25" customHeight="1" x14ac:dyDescent="0.3">
      <c r="A49" s="599"/>
      <c r="D49" s="624"/>
    </row>
    <row r="50" spans="1:15" ht="15" customHeight="1" thickBot="1" x14ac:dyDescent="0.35">
      <c r="A50" s="632"/>
      <c r="B50" s="633"/>
      <c r="C50" s="632"/>
      <c r="D50" s="634"/>
      <c r="E50" s="632"/>
      <c r="F50" s="635"/>
      <c r="G50" s="635"/>
    </row>
    <row r="51" spans="1:15" ht="15" customHeight="1" x14ac:dyDescent="0.3">
      <c r="F51" s="620"/>
      <c r="G51" s="620"/>
    </row>
    <row r="52" spans="1:15" ht="15" customHeight="1" x14ac:dyDescent="0.3">
      <c r="B52" s="714" t="s">
        <v>4</v>
      </c>
      <c r="C52" s="714"/>
      <c r="D52" s="586"/>
      <c r="E52" s="617" t="s">
        <v>5</v>
      </c>
      <c r="F52" s="631"/>
      <c r="G52" s="617" t="s">
        <v>6</v>
      </c>
      <c r="I52" s="542"/>
      <c r="J52" s="542"/>
      <c r="K52" s="542"/>
      <c r="L52" s="542"/>
      <c r="M52" s="542"/>
      <c r="N52" s="542"/>
      <c r="O52" s="542"/>
    </row>
    <row r="53" spans="1:15" ht="15" customHeight="1" x14ac:dyDescent="0.3">
      <c r="A53" s="618" t="s">
        <v>7</v>
      </c>
      <c r="B53" s="619"/>
      <c r="C53" s="619"/>
      <c r="D53" s="586"/>
      <c r="E53" s="619"/>
      <c r="F53" s="586"/>
      <c r="G53" s="619"/>
    </row>
    <row r="54" spans="1:15" ht="13.8" x14ac:dyDescent="0.3">
      <c r="A54" s="618"/>
      <c r="B54" s="599"/>
      <c r="C54" s="599"/>
      <c r="D54" s="586"/>
      <c r="E54" s="599"/>
      <c r="F54" s="586"/>
      <c r="G54" s="599"/>
    </row>
    <row r="55" spans="1:15" ht="13.8" x14ac:dyDescent="0.3">
      <c r="A55" s="618" t="s">
        <v>8</v>
      </c>
      <c r="B55" s="619"/>
      <c r="C55" s="619"/>
      <c r="D55" s="599"/>
      <c r="E55" s="619"/>
      <c r="F55" s="586"/>
      <c r="G55" s="619"/>
    </row>
  </sheetData>
  <sheetProtection formatCells="0" formatColumns="0" formatRows="0" insertColumns="0" insertRows="0" insertHyperlinks="0" deleteColumns="0" deleteRows="0" sort="0" autoFilter="0" pivotTables="0"/>
  <mergeCells count="11">
    <mergeCell ref="A15:B15"/>
    <mergeCell ref="A16:B16"/>
    <mergeCell ref="A18:B18"/>
    <mergeCell ref="B47:B48"/>
    <mergeCell ref="B52:C52"/>
    <mergeCell ref="A14:B14"/>
    <mergeCell ref="A8:G8"/>
    <mergeCell ref="A10:G10"/>
    <mergeCell ref="A11:B11"/>
    <mergeCell ref="A12:B12"/>
    <mergeCell ref="A13:B13"/>
  </mergeCells>
  <conditionalFormatting sqref="D21:D40">
    <cfRule type="cellIs" dxfId="25" priority="1" operator="notBetween">
      <formula>IF(C43&lt;=80,-10.5%,IF(C43&lt;250,-7.5%,-5.5%))</formula>
      <formula>IF(C43&lt;=80,10.5%, IF(C43&lt;250,7.5%, C43*5.5%))</formula>
    </cfRule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94" zoomScale="60" zoomScaleNormal="40" zoomScalePageLayoutView="55" workbookViewId="0">
      <selection activeCell="G110" sqref="G110"/>
    </sheetView>
  </sheetViews>
  <sheetFormatPr defaultColWidth="9.109375" defaultRowHeight="13.8" x14ac:dyDescent="0.3"/>
  <cols>
    <col min="1" max="1" width="55.44140625" style="1" customWidth="1"/>
    <col min="2" max="2" width="33.6640625" style="1" customWidth="1"/>
    <col min="3" max="3" width="42.33203125" style="1" customWidth="1"/>
    <col min="4" max="4" width="30.5546875" style="1" customWidth="1"/>
    <col min="5" max="5" width="39.88671875" style="1" customWidth="1"/>
    <col min="6" max="6" width="30.6640625" style="1" customWidth="1"/>
    <col min="7" max="7" width="39.88671875" style="1" customWidth="1"/>
    <col min="8" max="8" width="30" style="1" customWidth="1"/>
    <col min="9" max="9" width="30.33203125" style="1" hidden="1" customWidth="1"/>
    <col min="10" max="10" width="30.44140625" style="1" customWidth="1"/>
    <col min="11" max="11" width="21.33203125" style="1" customWidth="1"/>
    <col min="12" max="12" width="9.109375" style="585"/>
    <col min="13" max="16384" width="9.109375" style="584"/>
  </cols>
  <sheetData>
    <row r="1" spans="1:12" customFormat="1" ht="18.75" customHeight="1" x14ac:dyDescent="0.3">
      <c r="A1" s="735" t="s">
        <v>22</v>
      </c>
      <c r="B1" s="735"/>
      <c r="C1" s="735"/>
      <c r="D1" s="735"/>
      <c r="E1" s="735"/>
      <c r="F1" s="735"/>
      <c r="G1" s="735"/>
      <c r="H1" s="735"/>
      <c r="I1" s="735"/>
      <c r="J1" s="1"/>
      <c r="K1" s="1"/>
      <c r="L1" s="1"/>
    </row>
    <row r="2" spans="1:12" customFormat="1" ht="18.75" customHeight="1" x14ac:dyDescent="0.3">
      <c r="A2" s="735"/>
      <c r="B2" s="735"/>
      <c r="C2" s="735"/>
      <c r="D2" s="735"/>
      <c r="E2" s="735"/>
      <c r="F2" s="735"/>
      <c r="G2" s="735"/>
      <c r="H2" s="735"/>
      <c r="I2" s="735"/>
      <c r="J2" s="1"/>
      <c r="K2" s="1"/>
      <c r="L2" s="1"/>
    </row>
    <row r="3" spans="1:12" customFormat="1" ht="18.75" customHeight="1" x14ac:dyDescent="0.3">
      <c r="A3" s="735"/>
      <c r="B3" s="735"/>
      <c r="C3" s="735"/>
      <c r="D3" s="735"/>
      <c r="E3" s="735"/>
      <c r="F3" s="735"/>
      <c r="G3" s="735"/>
      <c r="H3" s="735"/>
      <c r="I3" s="735"/>
      <c r="J3" s="1"/>
      <c r="K3" s="1"/>
      <c r="L3" s="1"/>
    </row>
    <row r="4" spans="1:12" customFormat="1" ht="18.75" customHeight="1" x14ac:dyDescent="0.3">
      <c r="A4" s="735"/>
      <c r="B4" s="735"/>
      <c r="C4" s="735"/>
      <c r="D4" s="735"/>
      <c r="E4" s="735"/>
      <c r="F4" s="735"/>
      <c r="G4" s="735"/>
      <c r="H4" s="735"/>
      <c r="I4" s="735"/>
      <c r="J4" s="1"/>
      <c r="K4" s="1"/>
      <c r="L4" s="1"/>
    </row>
    <row r="5" spans="1:12" customFormat="1" ht="18.75" customHeight="1" x14ac:dyDescent="0.3">
      <c r="A5" s="735"/>
      <c r="B5" s="735"/>
      <c r="C5" s="735"/>
      <c r="D5" s="735"/>
      <c r="E5" s="735"/>
      <c r="F5" s="735"/>
      <c r="G5" s="735"/>
      <c r="H5" s="735"/>
      <c r="I5" s="735"/>
      <c r="J5" s="1"/>
      <c r="K5" s="1"/>
      <c r="L5" s="1"/>
    </row>
    <row r="6" spans="1:12" customFormat="1" ht="18.75" customHeight="1" x14ac:dyDescent="0.3">
      <c r="A6" s="735"/>
      <c r="B6" s="735"/>
      <c r="C6" s="735"/>
      <c r="D6" s="735"/>
      <c r="E6" s="735"/>
      <c r="F6" s="735"/>
      <c r="G6" s="735"/>
      <c r="H6" s="735"/>
      <c r="I6" s="735"/>
      <c r="J6" s="1"/>
      <c r="K6" s="1"/>
      <c r="L6" s="1"/>
    </row>
    <row r="7" spans="1:12" customFormat="1" ht="18.75" customHeight="1" x14ac:dyDescent="0.3">
      <c r="A7" s="735"/>
      <c r="B7" s="735"/>
      <c r="C7" s="735"/>
      <c r="D7" s="735"/>
      <c r="E7" s="735"/>
      <c r="F7" s="735"/>
      <c r="G7" s="735"/>
      <c r="H7" s="735"/>
      <c r="I7" s="735"/>
      <c r="J7" s="1"/>
      <c r="K7" s="1"/>
      <c r="L7" s="1"/>
    </row>
    <row r="8" spans="1:12" customFormat="1" x14ac:dyDescent="0.3">
      <c r="A8" s="736" t="s">
        <v>23</v>
      </c>
      <c r="B8" s="736"/>
      <c r="C8" s="736"/>
      <c r="D8" s="736"/>
      <c r="E8" s="736"/>
      <c r="F8" s="736"/>
      <c r="G8" s="736"/>
      <c r="H8" s="736"/>
      <c r="I8" s="736"/>
      <c r="J8" s="1"/>
      <c r="K8" s="1"/>
      <c r="L8" s="1"/>
    </row>
    <row r="9" spans="1:12" customFormat="1" x14ac:dyDescent="0.3">
      <c r="A9" s="736"/>
      <c r="B9" s="736"/>
      <c r="C9" s="736"/>
      <c r="D9" s="736"/>
      <c r="E9" s="736"/>
      <c r="F9" s="736"/>
      <c r="G9" s="736"/>
      <c r="H9" s="736"/>
      <c r="I9" s="736"/>
      <c r="J9" s="1"/>
      <c r="K9" s="1"/>
      <c r="L9" s="1"/>
    </row>
    <row r="10" spans="1:12" customFormat="1" x14ac:dyDescent="0.3">
      <c r="A10" s="736"/>
      <c r="B10" s="736"/>
      <c r="C10" s="736"/>
      <c r="D10" s="736"/>
      <c r="E10" s="736"/>
      <c r="F10" s="736"/>
      <c r="G10" s="736"/>
      <c r="H10" s="736"/>
      <c r="I10" s="736"/>
      <c r="J10" s="1"/>
      <c r="K10" s="1"/>
      <c r="L10" s="1"/>
    </row>
    <row r="11" spans="1:12" customFormat="1" x14ac:dyDescent="0.3">
      <c r="A11" s="736"/>
      <c r="B11" s="736"/>
      <c r="C11" s="736"/>
      <c r="D11" s="736"/>
      <c r="E11" s="736"/>
      <c r="F11" s="736"/>
      <c r="G11" s="736"/>
      <c r="H11" s="736"/>
      <c r="I11" s="736"/>
      <c r="J11" s="1"/>
      <c r="K11" s="1"/>
      <c r="L11" s="1"/>
    </row>
    <row r="12" spans="1:12" customFormat="1" x14ac:dyDescent="0.3">
      <c r="A12" s="736"/>
      <c r="B12" s="736"/>
      <c r="C12" s="736"/>
      <c r="D12" s="736"/>
      <c r="E12" s="736"/>
      <c r="F12" s="736"/>
      <c r="G12" s="736"/>
      <c r="H12" s="736"/>
      <c r="I12" s="736"/>
      <c r="J12" s="1"/>
      <c r="K12" s="1"/>
      <c r="L12" s="1"/>
    </row>
    <row r="13" spans="1:12" customFormat="1" x14ac:dyDescent="0.3">
      <c r="A13" s="736"/>
      <c r="B13" s="736"/>
      <c r="C13" s="736"/>
      <c r="D13" s="736"/>
      <c r="E13" s="736"/>
      <c r="F13" s="736"/>
      <c r="G13" s="736"/>
      <c r="H13" s="736"/>
      <c r="I13" s="736"/>
      <c r="J13" s="1"/>
      <c r="K13" s="1"/>
      <c r="L13" s="1"/>
    </row>
    <row r="14" spans="1:12" customFormat="1" x14ac:dyDescent="0.3">
      <c r="A14" s="736"/>
      <c r="B14" s="736"/>
      <c r="C14" s="736"/>
      <c r="D14" s="736"/>
      <c r="E14" s="736"/>
      <c r="F14" s="736"/>
      <c r="G14" s="736"/>
      <c r="H14" s="736"/>
      <c r="I14" s="736"/>
      <c r="J14" s="1"/>
      <c r="K14" s="1"/>
      <c r="L14" s="1"/>
    </row>
    <row r="15" spans="1:12" customFormat="1" ht="19.5" customHeight="1" x14ac:dyDescent="0.35">
      <c r="A15" s="36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customFormat="1" ht="19.5" customHeight="1" x14ac:dyDescent="0.35">
      <c r="A16" s="746" t="s">
        <v>9</v>
      </c>
      <c r="B16" s="747"/>
      <c r="C16" s="747"/>
      <c r="D16" s="747"/>
      <c r="E16" s="747"/>
      <c r="F16" s="747"/>
      <c r="G16" s="747"/>
      <c r="H16" s="748"/>
      <c r="I16" s="1"/>
      <c r="J16" s="1"/>
      <c r="K16" s="1"/>
      <c r="L16" s="1"/>
    </row>
    <row r="17" spans="1:14" customFormat="1" ht="20.25" customHeight="1" x14ac:dyDescent="0.3">
      <c r="A17" s="749" t="s">
        <v>24</v>
      </c>
      <c r="B17" s="749"/>
      <c r="C17" s="749"/>
      <c r="D17" s="749"/>
      <c r="E17" s="749"/>
      <c r="F17" s="749"/>
      <c r="G17" s="749"/>
      <c r="H17" s="749"/>
      <c r="I17" s="1"/>
      <c r="J17" s="1"/>
      <c r="K17" s="1"/>
      <c r="L17" s="1"/>
    </row>
    <row r="18" spans="1:14" customFormat="1" ht="26.25" customHeight="1" x14ac:dyDescent="0.5">
      <c r="A18" s="364" t="s">
        <v>11</v>
      </c>
      <c r="B18" s="652" t="s">
        <v>126</v>
      </c>
      <c r="C18" s="652"/>
      <c r="D18" s="529"/>
      <c r="E18" s="365"/>
      <c r="F18" s="366"/>
      <c r="G18" s="366"/>
      <c r="H18" s="366"/>
      <c r="I18" s="1"/>
      <c r="J18" s="1"/>
      <c r="K18" s="1"/>
      <c r="L18" s="1"/>
    </row>
    <row r="19" spans="1:14" customFormat="1" ht="26.25" customHeight="1" x14ac:dyDescent="0.5">
      <c r="A19" s="364" t="s">
        <v>12</v>
      </c>
      <c r="B19" s="367" t="s">
        <v>139</v>
      </c>
      <c r="C19" s="541">
        <v>29</v>
      </c>
      <c r="D19" s="366"/>
      <c r="E19" s="366"/>
      <c r="F19" s="366"/>
      <c r="G19" s="366"/>
      <c r="H19" s="366"/>
      <c r="I19" s="1"/>
      <c r="J19" s="1"/>
      <c r="K19" s="1"/>
      <c r="L19" s="1"/>
    </row>
    <row r="20" spans="1:14" customFormat="1" ht="26.25" customHeight="1" x14ac:dyDescent="0.5">
      <c r="A20" s="364" t="s">
        <v>13</v>
      </c>
      <c r="B20" s="653" t="s">
        <v>128</v>
      </c>
      <c r="C20" s="653"/>
      <c r="D20" s="366"/>
      <c r="E20" s="366"/>
      <c r="F20" s="366"/>
      <c r="G20" s="366"/>
      <c r="H20" s="366"/>
      <c r="I20" s="1"/>
      <c r="J20" s="1"/>
      <c r="K20" s="1"/>
      <c r="L20" s="1"/>
    </row>
    <row r="21" spans="1:14" customFormat="1" ht="26.25" customHeight="1" x14ac:dyDescent="0.5">
      <c r="A21" s="364" t="s">
        <v>14</v>
      </c>
      <c r="B21" s="653" t="s">
        <v>129</v>
      </c>
      <c r="C21" s="653"/>
      <c r="D21" s="653"/>
      <c r="E21" s="653"/>
      <c r="F21" s="653"/>
      <c r="G21" s="653"/>
      <c r="H21" s="653"/>
      <c r="I21" s="368"/>
      <c r="J21" s="1"/>
      <c r="K21" s="1"/>
      <c r="L21" s="1"/>
    </row>
    <row r="22" spans="1:14" customFormat="1" ht="26.25" customHeight="1" x14ac:dyDescent="0.5">
      <c r="A22" s="364" t="s">
        <v>15</v>
      </c>
      <c r="B22" s="369">
        <v>42495.458773148152</v>
      </c>
      <c r="C22" s="366"/>
      <c r="D22" s="366"/>
      <c r="E22" s="366"/>
      <c r="F22" s="366"/>
      <c r="G22" s="366"/>
      <c r="H22" s="366"/>
      <c r="I22" s="1"/>
      <c r="J22" s="1"/>
      <c r="K22" s="1"/>
      <c r="L22" s="1"/>
    </row>
    <row r="23" spans="1:14" customFormat="1" ht="26.25" customHeight="1" x14ac:dyDescent="0.5">
      <c r="A23" s="364" t="s">
        <v>16</v>
      </c>
      <c r="B23" s="369">
        <v>42500.458773148152</v>
      </c>
      <c r="C23" s="366"/>
      <c r="D23" s="366"/>
      <c r="E23" s="366"/>
      <c r="F23" s="366"/>
      <c r="G23" s="366"/>
      <c r="H23" s="366"/>
      <c r="I23" s="1"/>
      <c r="J23" s="1"/>
      <c r="K23" s="1"/>
      <c r="L23" s="1"/>
    </row>
    <row r="24" spans="1:14" customFormat="1" ht="18" x14ac:dyDescent="0.35">
      <c r="A24" s="364"/>
      <c r="B24" s="370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4" customFormat="1" ht="18" x14ac:dyDescent="0.35">
      <c r="A25" s="371" t="s">
        <v>0</v>
      </c>
      <c r="B25" s="370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4" customFormat="1" ht="26.25" customHeight="1" x14ac:dyDescent="0.45">
      <c r="A26" s="372" t="s">
        <v>1</v>
      </c>
      <c r="B26" s="655" t="s">
        <v>102</v>
      </c>
      <c r="C26" s="489"/>
      <c r="D26" s="1"/>
      <c r="E26" s="1"/>
      <c r="F26" s="1"/>
      <c r="G26" s="1"/>
      <c r="H26" s="1"/>
      <c r="I26" s="1"/>
      <c r="J26" s="1"/>
      <c r="K26" s="1"/>
      <c r="L26" s="1"/>
    </row>
    <row r="27" spans="1:14" customFormat="1" ht="26.25" customHeight="1" x14ac:dyDescent="0.5">
      <c r="A27" s="373" t="s">
        <v>25</v>
      </c>
      <c r="B27" s="656" t="s">
        <v>103</v>
      </c>
      <c r="C27" s="489"/>
      <c r="D27" s="1"/>
      <c r="E27" s="1"/>
      <c r="F27" s="1"/>
      <c r="G27" s="1"/>
      <c r="H27" s="1"/>
      <c r="I27" s="1"/>
      <c r="J27" s="1"/>
      <c r="K27" s="1"/>
      <c r="L27" s="1"/>
    </row>
    <row r="28" spans="1:14" customFormat="1" ht="27" customHeight="1" x14ac:dyDescent="0.45">
      <c r="A28" s="373" t="s">
        <v>2</v>
      </c>
      <c r="B28" s="374">
        <v>101.74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4" s="581" customFormat="1" ht="27" customHeight="1" x14ac:dyDescent="0.5">
      <c r="A29" s="373" t="s">
        <v>26</v>
      </c>
      <c r="B29" s="375">
        <v>0</v>
      </c>
      <c r="C29" s="717" t="s">
        <v>27</v>
      </c>
      <c r="D29" s="718"/>
      <c r="E29" s="718"/>
      <c r="F29" s="718"/>
      <c r="G29" s="719"/>
      <c r="H29" s="2"/>
      <c r="I29" s="376"/>
      <c r="J29" s="376"/>
      <c r="K29" s="376"/>
      <c r="L29" s="658"/>
    </row>
    <row r="30" spans="1:14" s="581" customFormat="1" ht="19.5" customHeight="1" x14ac:dyDescent="0.35">
      <c r="A30" s="373" t="s">
        <v>28</v>
      </c>
      <c r="B30" s="377">
        <f>B28-B29</f>
        <v>101.74</v>
      </c>
      <c r="C30" s="378"/>
      <c r="D30" s="378"/>
      <c r="E30" s="378"/>
      <c r="F30" s="378"/>
      <c r="G30" s="379"/>
      <c r="H30" s="2"/>
      <c r="I30" s="376"/>
      <c r="J30" s="376"/>
      <c r="K30" s="376"/>
      <c r="L30" s="658"/>
    </row>
    <row r="31" spans="1:14" s="581" customFormat="1" ht="27" customHeight="1" x14ac:dyDescent="0.45">
      <c r="A31" s="373" t="s">
        <v>29</v>
      </c>
      <c r="B31" s="380">
        <v>1</v>
      </c>
      <c r="C31" s="720" t="s">
        <v>30</v>
      </c>
      <c r="D31" s="721"/>
      <c r="E31" s="721"/>
      <c r="F31" s="721"/>
      <c r="G31" s="721"/>
      <c r="H31" s="722"/>
      <c r="I31" s="376"/>
      <c r="J31" s="376"/>
      <c r="K31" s="376"/>
      <c r="L31" s="658"/>
    </row>
    <row r="32" spans="1:14" s="581" customFormat="1" ht="27" customHeight="1" x14ac:dyDescent="0.45">
      <c r="A32" s="373" t="s">
        <v>31</v>
      </c>
      <c r="B32" s="380">
        <v>1</v>
      </c>
      <c r="C32" s="720" t="s">
        <v>32</v>
      </c>
      <c r="D32" s="721"/>
      <c r="E32" s="721"/>
      <c r="F32" s="721"/>
      <c r="G32" s="721"/>
      <c r="H32" s="722"/>
      <c r="I32" s="376"/>
      <c r="J32" s="376"/>
      <c r="K32" s="376"/>
      <c r="L32" s="582"/>
      <c r="M32" s="582"/>
      <c r="N32" s="583"/>
    </row>
    <row r="33" spans="1:14" s="581" customFormat="1" ht="17.25" customHeight="1" x14ac:dyDescent="0.35">
      <c r="A33" s="373"/>
      <c r="B33" s="381"/>
      <c r="C33" s="382"/>
      <c r="D33" s="382"/>
      <c r="E33" s="382"/>
      <c r="F33" s="382"/>
      <c r="G33" s="382"/>
      <c r="H33" s="382"/>
      <c r="I33" s="376"/>
      <c r="J33" s="376"/>
      <c r="K33" s="376"/>
      <c r="L33" s="582"/>
      <c r="M33" s="582"/>
      <c r="N33" s="583"/>
    </row>
    <row r="34" spans="1:14" s="581" customFormat="1" ht="18" x14ac:dyDescent="0.35">
      <c r="A34" s="373" t="s">
        <v>33</v>
      </c>
      <c r="B34" s="383">
        <f>B31/B32</f>
        <v>1</v>
      </c>
      <c r="C34" s="363" t="s">
        <v>34</v>
      </c>
      <c r="D34" s="363"/>
      <c r="E34" s="363"/>
      <c r="F34" s="363"/>
      <c r="G34" s="363"/>
      <c r="I34" s="376"/>
      <c r="J34" s="376"/>
      <c r="K34" s="376"/>
      <c r="L34" s="582"/>
      <c r="M34" s="582"/>
      <c r="N34" s="583"/>
    </row>
    <row r="35" spans="1:14" s="581" customFormat="1" ht="19.5" customHeight="1" x14ac:dyDescent="0.35">
      <c r="A35" s="373"/>
      <c r="B35" s="377"/>
      <c r="C35" s="2"/>
      <c r="D35" s="2"/>
      <c r="E35" s="2"/>
      <c r="F35" s="2"/>
      <c r="G35" s="363"/>
      <c r="I35" s="376"/>
      <c r="J35" s="376"/>
      <c r="K35" s="376"/>
      <c r="L35" s="582"/>
      <c r="M35" s="582"/>
      <c r="N35" s="583"/>
    </row>
    <row r="36" spans="1:14" s="581" customFormat="1" ht="27" customHeight="1" x14ac:dyDescent="0.45">
      <c r="A36" s="384" t="s">
        <v>35</v>
      </c>
      <c r="B36" s="385">
        <v>25</v>
      </c>
      <c r="C36" s="363"/>
      <c r="D36" s="723" t="s">
        <v>36</v>
      </c>
      <c r="E36" s="745"/>
      <c r="F36" s="723" t="s">
        <v>37</v>
      </c>
      <c r="G36" s="724"/>
      <c r="H36" s="489"/>
      <c r="I36" s="2"/>
      <c r="J36" s="376"/>
      <c r="K36" s="376"/>
      <c r="L36" s="582"/>
      <c r="M36" s="582"/>
      <c r="N36" s="583"/>
    </row>
    <row r="37" spans="1:14" s="581" customFormat="1" ht="27" customHeight="1" x14ac:dyDescent="0.45">
      <c r="A37" s="386" t="s">
        <v>38</v>
      </c>
      <c r="B37" s="387">
        <v>5</v>
      </c>
      <c r="C37" s="388" t="s">
        <v>39</v>
      </c>
      <c r="D37" s="389" t="s">
        <v>40</v>
      </c>
      <c r="E37" s="390" t="s">
        <v>41</v>
      </c>
      <c r="F37" s="389" t="s">
        <v>40</v>
      </c>
      <c r="G37" s="391" t="s">
        <v>41</v>
      </c>
      <c r="H37" s="489"/>
      <c r="I37" s="392" t="s">
        <v>42</v>
      </c>
      <c r="J37" s="376"/>
      <c r="K37" s="376"/>
      <c r="L37" s="582"/>
      <c r="M37" s="582"/>
      <c r="N37" s="583"/>
    </row>
    <row r="38" spans="1:14" s="581" customFormat="1" ht="26.25" customHeight="1" x14ac:dyDescent="0.45">
      <c r="A38" s="386" t="s">
        <v>43</v>
      </c>
      <c r="B38" s="387">
        <v>50</v>
      </c>
      <c r="C38" s="393">
        <v>1</v>
      </c>
      <c r="D38" s="394">
        <v>19226668</v>
      </c>
      <c r="E38" s="395">
        <f>IF(ISBLANK(D38),"-",$D$48/$D$45*D38)</f>
        <v>16743513.42749566</v>
      </c>
      <c r="F38" s="394">
        <v>22306491</v>
      </c>
      <c r="G38" s="396">
        <f>IF(ISBLANK(F38),"-",$D$48/$F$45*F38)</f>
        <v>16961059.361843482</v>
      </c>
      <c r="H38" s="489"/>
      <c r="I38" s="397"/>
      <c r="J38" s="376"/>
      <c r="K38" s="376"/>
      <c r="L38" s="582"/>
      <c r="M38" s="582"/>
      <c r="N38" s="583"/>
    </row>
    <row r="39" spans="1:14" s="581" customFormat="1" ht="26.25" customHeight="1" x14ac:dyDescent="0.45">
      <c r="A39" s="386" t="s">
        <v>44</v>
      </c>
      <c r="B39" s="387">
        <v>1</v>
      </c>
      <c r="C39" s="398">
        <v>2</v>
      </c>
      <c r="D39" s="399">
        <v>19119356</v>
      </c>
      <c r="E39" s="400">
        <f>IF(ISBLANK(D39),"-",$D$48/$D$45*D39)</f>
        <v>16650060.941972354</v>
      </c>
      <c r="F39" s="399">
        <v>22233509</v>
      </c>
      <c r="G39" s="401">
        <f>IF(ISBLANK(F39),"-",$D$48/$F$45*F39)</f>
        <v>16905566.454673722</v>
      </c>
      <c r="H39" s="489"/>
      <c r="I39" s="739">
        <f>ABS((F43/D43*D42)-F42)/D42</f>
        <v>1.4071320041421474E-2</v>
      </c>
      <c r="J39" s="376"/>
      <c r="K39" s="376"/>
      <c r="L39" s="582"/>
      <c r="M39" s="582"/>
      <c r="N39" s="583"/>
    </row>
    <row r="40" spans="1:14" ht="26.25" customHeight="1" x14ac:dyDescent="0.45">
      <c r="A40" s="386" t="s">
        <v>45</v>
      </c>
      <c r="B40" s="387">
        <v>1</v>
      </c>
      <c r="C40" s="398">
        <v>3</v>
      </c>
      <c r="D40" s="399">
        <v>19138415</v>
      </c>
      <c r="E40" s="400">
        <f>IF(ISBLANK(D40),"-",$D$48/$D$45*D40)</f>
        <v>16666658.441987159</v>
      </c>
      <c r="F40" s="399">
        <v>22106051</v>
      </c>
      <c r="G40" s="401">
        <f>IF(ISBLANK(F40),"-",$D$48/$F$45*F40)</f>
        <v>16808651.942026176</v>
      </c>
      <c r="I40" s="739"/>
      <c r="L40" s="582"/>
      <c r="M40" s="582"/>
      <c r="N40" s="661"/>
    </row>
    <row r="41" spans="1:14" ht="27" customHeight="1" x14ac:dyDescent="0.45">
      <c r="A41" s="386" t="s">
        <v>46</v>
      </c>
      <c r="B41" s="387">
        <v>1</v>
      </c>
      <c r="C41" s="403">
        <v>4</v>
      </c>
      <c r="D41" s="404"/>
      <c r="E41" s="405" t="str">
        <f>IF(ISBLANK(D41),"-",$D$48/$D$45*D41)</f>
        <v>-</v>
      </c>
      <c r="F41" s="404"/>
      <c r="G41" s="406" t="str">
        <f>IF(ISBLANK(F41),"-",$D$48/$F$45*F41)</f>
        <v>-</v>
      </c>
      <c r="I41" s="407"/>
      <c r="L41" s="582"/>
      <c r="M41" s="582"/>
      <c r="N41" s="661"/>
    </row>
    <row r="42" spans="1:14" ht="27" customHeight="1" x14ac:dyDescent="0.45">
      <c r="A42" s="386" t="s">
        <v>47</v>
      </c>
      <c r="B42" s="387">
        <v>1</v>
      </c>
      <c r="C42" s="408" t="s">
        <v>48</v>
      </c>
      <c r="D42" s="409">
        <f>AVERAGE(D38:D41)</f>
        <v>19161479.666666668</v>
      </c>
      <c r="E42" s="410">
        <f>AVERAGE(E38:E41)</f>
        <v>16686744.270485058</v>
      </c>
      <c r="F42" s="409">
        <f>AVERAGE(F38:F41)</f>
        <v>22215350.333333332</v>
      </c>
      <c r="G42" s="411">
        <f>AVERAGE(G38:G41)</f>
        <v>16891759.252847794</v>
      </c>
      <c r="H42" s="412"/>
    </row>
    <row r="43" spans="1:14" ht="26.25" customHeight="1" x14ac:dyDescent="0.45">
      <c r="A43" s="386" t="s">
        <v>49</v>
      </c>
      <c r="B43" s="387">
        <v>1</v>
      </c>
      <c r="C43" s="413" t="s">
        <v>50</v>
      </c>
      <c r="D43" s="414">
        <v>16.93</v>
      </c>
      <c r="E43" s="402"/>
      <c r="F43" s="657">
        <v>19.39</v>
      </c>
      <c r="H43" s="412"/>
    </row>
    <row r="44" spans="1:14" ht="26.25" customHeight="1" x14ac:dyDescent="0.45">
      <c r="A44" s="386" t="s">
        <v>51</v>
      </c>
      <c r="B44" s="387">
        <v>1</v>
      </c>
      <c r="C44" s="415" t="s">
        <v>52</v>
      </c>
      <c r="D44" s="416">
        <f>D43*$B$34</f>
        <v>16.93</v>
      </c>
      <c r="E44" s="417"/>
      <c r="F44" s="416">
        <f>F43*$B$34</f>
        <v>19.39</v>
      </c>
      <c r="H44" s="412"/>
    </row>
    <row r="45" spans="1:14" ht="19.5" customHeight="1" x14ac:dyDescent="0.35">
      <c r="A45" s="386" t="s">
        <v>53</v>
      </c>
      <c r="B45" s="418">
        <f>(B44/B43)*(B42/B41)*(B40/B39)*(B38/B37)*B36</f>
        <v>250</v>
      </c>
      <c r="C45" s="415" t="s">
        <v>54</v>
      </c>
      <c r="D45" s="419">
        <f>D44*$B$30/100</f>
        <v>17.224581999999998</v>
      </c>
      <c r="E45" s="420"/>
      <c r="F45" s="419">
        <f>F44*$B$30/100</f>
        <v>19.727385999999999</v>
      </c>
      <c r="H45" s="412"/>
    </row>
    <row r="46" spans="1:14" ht="19.5" customHeight="1" x14ac:dyDescent="0.35">
      <c r="A46" s="725" t="s">
        <v>55</v>
      </c>
      <c r="B46" s="737"/>
      <c r="C46" s="415" t="s">
        <v>56</v>
      </c>
      <c r="D46" s="421">
        <f>D45/$B$45</f>
        <v>6.8898327999999995E-2</v>
      </c>
      <c r="E46" s="422"/>
      <c r="F46" s="423">
        <f>F45/$B$45</f>
        <v>7.8909543999999998E-2</v>
      </c>
      <c r="H46" s="412"/>
    </row>
    <row r="47" spans="1:14" ht="27" customHeight="1" x14ac:dyDescent="0.45">
      <c r="A47" s="727"/>
      <c r="B47" s="738"/>
      <c r="C47" s="424" t="s">
        <v>57</v>
      </c>
      <c r="D47" s="425">
        <v>0.06</v>
      </c>
      <c r="E47" s="426"/>
      <c r="F47" s="422"/>
      <c r="H47" s="412"/>
    </row>
    <row r="48" spans="1:14" ht="18" x14ac:dyDescent="0.35">
      <c r="C48" s="427" t="s">
        <v>58</v>
      </c>
      <c r="D48" s="419">
        <f>D47*$B$45</f>
        <v>15</v>
      </c>
      <c r="F48" s="428"/>
      <c r="H48" s="412"/>
    </row>
    <row r="49" spans="1:12" ht="19.5" customHeight="1" x14ac:dyDescent="0.35">
      <c r="C49" s="429" t="s">
        <v>59</v>
      </c>
      <c r="D49" s="430">
        <f>D48/B34</f>
        <v>15</v>
      </c>
      <c r="F49" s="428"/>
      <c r="H49" s="412"/>
    </row>
    <row r="50" spans="1:12" ht="18" x14ac:dyDescent="0.35">
      <c r="C50" s="384" t="s">
        <v>60</v>
      </c>
      <c r="D50" s="431">
        <f>AVERAGE(E38:E41,G38:G41)</f>
        <v>16789251.761666428</v>
      </c>
      <c r="F50" s="432"/>
      <c r="H50" s="412"/>
    </row>
    <row r="51" spans="1:12" ht="18" x14ac:dyDescent="0.35">
      <c r="C51" s="386" t="s">
        <v>61</v>
      </c>
      <c r="D51" s="433">
        <f>STDEV(E38:E41,G38:G41)/D50</f>
        <v>7.5302153054457692E-3</v>
      </c>
      <c r="F51" s="432"/>
      <c r="H51" s="412"/>
    </row>
    <row r="52" spans="1:12" ht="19.5" customHeight="1" x14ac:dyDescent="0.35">
      <c r="C52" s="434" t="s">
        <v>3</v>
      </c>
      <c r="D52" s="435">
        <f>COUNT(E38:E41,G38:G41)</f>
        <v>6</v>
      </c>
      <c r="F52" s="432"/>
    </row>
    <row r="53" spans="1:12" x14ac:dyDescent="0.3">
      <c r="G53" s="660">
        <f>F70/D50*D47*B68*B69/D68/300</f>
        <v>0.97474936216931662</v>
      </c>
    </row>
    <row r="54" spans="1:12" ht="18" x14ac:dyDescent="0.35">
      <c r="A54" s="436" t="s">
        <v>0</v>
      </c>
      <c r="B54" s="437" t="s">
        <v>62</v>
      </c>
      <c r="G54" s="659"/>
    </row>
    <row r="55" spans="1:12" ht="18" x14ac:dyDescent="0.35">
      <c r="A55" s="363" t="s">
        <v>63</v>
      </c>
      <c r="B55" s="438" t="str">
        <f>B21</f>
        <v>Each film-coated tablet contains Efavirenz 600 mg, Lamivudine USP 300 mg, Tenofovir Disoproxil Fumarate 300mg equivalent to tenofovir disoproxil 245 mg</v>
      </c>
    </row>
    <row r="56" spans="1:12" ht="26.25" customHeight="1" x14ac:dyDescent="0.45">
      <c r="A56" s="439" t="s">
        <v>64</v>
      </c>
      <c r="B56" s="440">
        <v>300</v>
      </c>
      <c r="C56" s="363" t="str">
        <f>B20</f>
        <v>Efavirenz 600 mg, Lamivudine 300 mg and Tenofovir Disoproxil Fumarate 300 mg</v>
      </c>
      <c r="H56" s="441"/>
    </row>
    <row r="57" spans="1:12" ht="18" x14ac:dyDescent="0.35">
      <c r="A57" s="438" t="s">
        <v>140</v>
      </c>
      <c r="B57" s="698">
        <f>'Uniformity '!C44</f>
        <v>1765.5585000000003</v>
      </c>
      <c r="H57" s="441"/>
    </row>
    <row r="58" spans="1:12" ht="19.5" customHeight="1" x14ac:dyDescent="0.35">
      <c r="H58" s="441"/>
    </row>
    <row r="59" spans="1:12" s="581" customFormat="1" ht="27" customHeight="1" x14ac:dyDescent="0.45">
      <c r="A59" s="384" t="s">
        <v>65</v>
      </c>
      <c r="B59" s="385">
        <v>200</v>
      </c>
      <c r="C59" s="363"/>
      <c r="D59" s="442" t="s">
        <v>66</v>
      </c>
      <c r="E59" s="443" t="s">
        <v>39</v>
      </c>
      <c r="F59" s="443" t="s">
        <v>40</v>
      </c>
      <c r="G59" s="443" t="s">
        <v>67</v>
      </c>
      <c r="H59" s="388" t="s">
        <v>68</v>
      </c>
      <c r="I59" s="2"/>
      <c r="J59" s="489"/>
      <c r="L59" s="658"/>
    </row>
    <row r="60" spans="1:12" s="581" customFormat="1" ht="26.25" customHeight="1" x14ac:dyDescent="0.45">
      <c r="A60" s="386" t="s">
        <v>69</v>
      </c>
      <c r="B60" s="387">
        <v>5</v>
      </c>
      <c r="C60" s="729" t="s">
        <v>70</v>
      </c>
      <c r="D60" s="732">
        <v>1766.04</v>
      </c>
      <c r="E60" s="444">
        <v>1</v>
      </c>
      <c r="F60" s="445">
        <v>16484394</v>
      </c>
      <c r="G60" s="530">
        <f>IF(ISBLANK(F60),"-",(F60/$D$50*$D$47*$B$68)*($B$57/$D$60))</f>
        <v>294.47231832810036</v>
      </c>
      <c r="H60" s="446">
        <f t="shared" ref="H60:H71" si="0">IF(ISBLANK(F60),"-",G60/$B$56)</f>
        <v>0.98157439442700123</v>
      </c>
      <c r="I60" s="2"/>
      <c r="J60" s="489"/>
      <c r="L60" s="658"/>
    </row>
    <row r="61" spans="1:12" s="581" customFormat="1" ht="26.25" customHeight="1" x14ac:dyDescent="0.45">
      <c r="A61" s="386" t="s">
        <v>71</v>
      </c>
      <c r="B61" s="387">
        <v>50</v>
      </c>
      <c r="C61" s="730"/>
      <c r="D61" s="733"/>
      <c r="E61" s="447">
        <v>2</v>
      </c>
      <c r="F61" s="399">
        <v>16497762</v>
      </c>
      <c r="G61" s="531">
        <f>IF(ISBLANK(F61),"-",(F61/$D$50*$D$47*$B$68)*($B$57/$D$60))</f>
        <v>294.71112030962365</v>
      </c>
      <c r="H61" s="448">
        <f t="shared" si="0"/>
        <v>0.98237040103207884</v>
      </c>
      <c r="I61" s="2"/>
      <c r="J61" s="489"/>
      <c r="L61" s="658"/>
    </row>
    <row r="62" spans="1:12" s="581" customFormat="1" ht="26.25" customHeight="1" x14ac:dyDescent="0.45">
      <c r="A62" s="386" t="s">
        <v>72</v>
      </c>
      <c r="B62" s="387">
        <v>10</v>
      </c>
      <c r="C62" s="730"/>
      <c r="D62" s="733"/>
      <c r="E62" s="447">
        <v>3</v>
      </c>
      <c r="F62" s="449">
        <v>16410143</v>
      </c>
      <c r="G62" s="531">
        <f>IF(ISBLANK(F62),"-",(F62/$D$50*$D$47*$B$68)*($B$57/$D$60))</f>
        <v>293.14592051765129</v>
      </c>
      <c r="H62" s="448">
        <f t="shared" si="0"/>
        <v>0.97715306839217098</v>
      </c>
      <c r="I62" s="2"/>
      <c r="J62" s="489"/>
      <c r="L62" s="658"/>
    </row>
    <row r="63" spans="1:12" ht="27" customHeight="1" x14ac:dyDescent="0.45">
      <c r="A63" s="386" t="s">
        <v>73</v>
      </c>
      <c r="B63" s="387">
        <v>25</v>
      </c>
      <c r="C63" s="731"/>
      <c r="D63" s="734"/>
      <c r="E63" s="450">
        <v>4</v>
      </c>
      <c r="F63" s="451"/>
      <c r="G63" s="531" t="str">
        <f>IF(ISBLANK(F63),"-",(F63/$D$50*$D$47*$B$68)*($B$57/$D$60))</f>
        <v>-</v>
      </c>
      <c r="H63" s="448" t="str">
        <f t="shared" si="0"/>
        <v>-</v>
      </c>
    </row>
    <row r="64" spans="1:12" ht="26.25" customHeight="1" x14ac:dyDescent="0.45">
      <c r="A64" s="386" t="s">
        <v>74</v>
      </c>
      <c r="B64" s="387">
        <v>1</v>
      </c>
      <c r="C64" s="729" t="s">
        <v>75</v>
      </c>
      <c r="D64" s="732">
        <v>1763.08</v>
      </c>
      <c r="E64" s="444">
        <v>1</v>
      </c>
      <c r="F64" s="445"/>
      <c r="G64" s="532" t="str">
        <f>IF(ISBLANK(F64),"-",(F64/$D$50*$D$47*$B$68)*($B$57/$D$64))</f>
        <v>-</v>
      </c>
      <c r="H64" s="452" t="str">
        <f t="shared" si="0"/>
        <v>-</v>
      </c>
    </row>
    <row r="65" spans="1:8" ht="26.25" customHeight="1" x14ac:dyDescent="0.45">
      <c r="A65" s="386" t="s">
        <v>76</v>
      </c>
      <c r="B65" s="387">
        <v>1</v>
      </c>
      <c r="C65" s="730"/>
      <c r="D65" s="733"/>
      <c r="E65" s="447">
        <v>2</v>
      </c>
      <c r="F65" s="399"/>
      <c r="G65" s="533" t="str">
        <f>IF(ISBLANK(F65),"-",(F65/$D$50*$D$47*$B$68)*($B$57/$D$64))</f>
        <v>-</v>
      </c>
      <c r="H65" s="453" t="str">
        <f t="shared" si="0"/>
        <v>-</v>
      </c>
    </row>
    <row r="66" spans="1:8" ht="26.25" customHeight="1" x14ac:dyDescent="0.45">
      <c r="A66" s="386" t="s">
        <v>77</v>
      </c>
      <c r="B66" s="387">
        <v>1</v>
      </c>
      <c r="C66" s="730"/>
      <c r="D66" s="733"/>
      <c r="E66" s="447">
        <v>3</v>
      </c>
      <c r="F66" s="399"/>
      <c r="G66" s="533" t="str">
        <f>IF(ISBLANK(F66),"-",(F66/$D$50*$D$47*$B$68)*($B$57/$D$64))</f>
        <v>-</v>
      </c>
      <c r="H66" s="453" t="str">
        <f t="shared" si="0"/>
        <v>-</v>
      </c>
    </row>
    <row r="67" spans="1:8" ht="27" customHeight="1" x14ac:dyDescent="0.45">
      <c r="A67" s="386" t="s">
        <v>78</v>
      </c>
      <c r="B67" s="387">
        <v>1</v>
      </c>
      <c r="C67" s="731"/>
      <c r="D67" s="734"/>
      <c r="E67" s="450">
        <v>4</v>
      </c>
      <c r="F67" s="451"/>
      <c r="G67" s="534" t="str">
        <f>IF(ISBLANK(F67),"-",(F67/$D$50*$D$47*$B$68)*($B$57/$D$64))</f>
        <v>-</v>
      </c>
      <c r="H67" s="454" t="str">
        <f t="shared" si="0"/>
        <v>-</v>
      </c>
    </row>
    <row r="68" spans="1:8" ht="26.25" customHeight="1" x14ac:dyDescent="0.5">
      <c r="A68" s="386" t="s">
        <v>79</v>
      </c>
      <c r="B68" s="455">
        <f>(B67/B66)*(B65/B64)*(B63/B62)*(B61/B60)*B59</f>
        <v>5000</v>
      </c>
      <c r="C68" s="729" t="s">
        <v>80</v>
      </c>
      <c r="D68" s="732">
        <v>1766.87</v>
      </c>
      <c r="E68" s="444">
        <v>1</v>
      </c>
      <c r="F68" s="445">
        <v>16374920</v>
      </c>
      <c r="G68" s="532">
        <f>IF(ISBLANK(F68),"-",(F68/$D$50*$D$47*$B$68)*($B$57/$D$68))</f>
        <v>292.3792954620813</v>
      </c>
      <c r="H68" s="448">
        <f t="shared" si="0"/>
        <v>0.974597651540271</v>
      </c>
    </row>
    <row r="69" spans="1:8" ht="27" customHeight="1" x14ac:dyDescent="0.5">
      <c r="A69" s="434" t="s">
        <v>81</v>
      </c>
      <c r="B69" s="456">
        <f>(D47*B68)/B56*B57</f>
        <v>1765.5585000000003</v>
      </c>
      <c r="C69" s="730"/>
      <c r="D69" s="733"/>
      <c r="E69" s="447">
        <v>2</v>
      </c>
      <c r="F69" s="399">
        <v>16351546</v>
      </c>
      <c r="G69" s="533">
        <f>IF(ISBLANK(F69),"-",(F69/$D$50*$D$47*$B$68)*($B$57/$D$68))</f>
        <v>291.96194541382874</v>
      </c>
      <c r="H69" s="448">
        <f t="shared" si="0"/>
        <v>0.9732064847127625</v>
      </c>
    </row>
    <row r="70" spans="1:8" ht="26.25" customHeight="1" x14ac:dyDescent="0.45">
      <c r="A70" s="741" t="s">
        <v>55</v>
      </c>
      <c r="B70" s="742"/>
      <c r="C70" s="730"/>
      <c r="D70" s="733"/>
      <c r="E70" s="447">
        <v>3</v>
      </c>
      <c r="F70" s="399">
        <v>16377469</v>
      </c>
      <c r="G70" s="533">
        <f>IF(ISBLANK(F70),"-",(F70/$D$50*$D$47*$B$68)*($B$57/$D$68))</f>
        <v>292.424808650795</v>
      </c>
      <c r="H70" s="448">
        <f t="shared" si="0"/>
        <v>0.97474936216931662</v>
      </c>
    </row>
    <row r="71" spans="1:8" ht="27" customHeight="1" x14ac:dyDescent="0.45">
      <c r="A71" s="743"/>
      <c r="B71" s="744"/>
      <c r="C71" s="740"/>
      <c r="D71" s="734"/>
      <c r="E71" s="450">
        <v>4</v>
      </c>
      <c r="F71" s="451"/>
      <c r="G71" s="534" t="str">
        <f>IF(ISBLANK(F71),"-",(F71/$D$50*$D$47*$B$68)*($B$57/$D$68))</f>
        <v>-</v>
      </c>
      <c r="H71" s="457" t="str">
        <f t="shared" si="0"/>
        <v>-</v>
      </c>
    </row>
    <row r="72" spans="1:8" ht="26.25" customHeight="1" x14ac:dyDescent="0.45">
      <c r="A72" s="458"/>
      <c r="B72" s="458"/>
      <c r="C72" s="458"/>
      <c r="D72" s="458"/>
      <c r="E72" s="458"/>
      <c r="F72" s="460" t="s">
        <v>48</v>
      </c>
      <c r="G72" s="539">
        <f>AVERAGE(G60:G71)</f>
        <v>293.18256811368008</v>
      </c>
      <c r="H72" s="461">
        <f>AVERAGE(H60:H71)</f>
        <v>0.97727522704560021</v>
      </c>
    </row>
    <row r="73" spans="1:8" ht="26.25" customHeight="1" x14ac:dyDescent="0.45">
      <c r="C73" s="458"/>
      <c r="D73" s="458"/>
      <c r="E73" s="458"/>
      <c r="F73" s="462" t="s">
        <v>61</v>
      </c>
      <c r="G73" s="535">
        <f>STDEV(G60:G71)/G72</f>
        <v>3.951470227026084E-3</v>
      </c>
      <c r="H73" s="461">
        <f>STDEV(H60:H71)/H72</f>
        <v>3.9514702270260962E-3</v>
      </c>
    </row>
    <row r="74" spans="1:8" ht="27" customHeight="1" x14ac:dyDescent="0.45">
      <c r="A74" s="458"/>
      <c r="B74" s="458"/>
      <c r="C74" s="459"/>
      <c r="D74" s="459"/>
      <c r="E74" s="463"/>
      <c r="F74" s="464" t="s">
        <v>3</v>
      </c>
      <c r="G74" s="465">
        <f>COUNT(G60:G71)</f>
        <v>6</v>
      </c>
      <c r="H74" s="465">
        <f>COUNT(H60:H71)</f>
        <v>6</v>
      </c>
    </row>
    <row r="76" spans="1:8" ht="26.25" customHeight="1" x14ac:dyDescent="0.45">
      <c r="A76" s="372" t="s">
        <v>82</v>
      </c>
      <c r="B76" s="466" t="s">
        <v>83</v>
      </c>
      <c r="C76" s="715" t="str">
        <f>B26</f>
        <v>LAMIVUDINE</v>
      </c>
      <c r="D76" s="715"/>
      <c r="E76" s="467" t="s">
        <v>84</v>
      </c>
      <c r="F76" s="467"/>
      <c r="G76" s="468">
        <f>H72</f>
        <v>0.97727522704560021</v>
      </c>
      <c r="H76" s="469"/>
    </row>
    <row r="77" spans="1:8" ht="18" x14ac:dyDescent="0.35">
      <c r="A77" s="371" t="s">
        <v>85</v>
      </c>
      <c r="B77" s="371" t="s">
        <v>86</v>
      </c>
    </row>
    <row r="78" spans="1:8" ht="18" x14ac:dyDescent="0.35">
      <c r="A78" s="371"/>
      <c r="B78" s="371"/>
    </row>
    <row r="79" spans="1:8" ht="26.25" customHeight="1" x14ac:dyDescent="0.45">
      <c r="A79" s="372" t="s">
        <v>1</v>
      </c>
      <c r="B79" s="470" t="str">
        <f>B26</f>
        <v>LAMIVUDINE</v>
      </c>
      <c r="C79" s="489"/>
    </row>
    <row r="80" spans="1:8" ht="26.25" customHeight="1" x14ac:dyDescent="0.45">
      <c r="A80" s="373" t="s">
        <v>25</v>
      </c>
      <c r="B80" s="470" t="str">
        <f>B27</f>
        <v>L3-9</v>
      </c>
      <c r="C80" s="489"/>
    </row>
    <row r="81" spans="1:12" ht="27" customHeight="1" x14ac:dyDescent="0.45">
      <c r="A81" s="373" t="s">
        <v>2</v>
      </c>
      <c r="B81" s="470">
        <f>B28</f>
        <v>101.74</v>
      </c>
    </row>
    <row r="82" spans="1:12" s="581" customFormat="1" ht="27" customHeight="1" x14ac:dyDescent="0.5">
      <c r="A82" s="373" t="s">
        <v>26</v>
      </c>
      <c r="B82" s="375">
        <v>0</v>
      </c>
      <c r="C82" s="717" t="s">
        <v>27</v>
      </c>
      <c r="D82" s="718"/>
      <c r="E82" s="718"/>
      <c r="F82" s="718"/>
      <c r="G82" s="719"/>
      <c r="H82" s="2"/>
      <c r="I82" s="376"/>
      <c r="J82" s="376"/>
      <c r="K82" s="376"/>
      <c r="L82" s="658"/>
    </row>
    <row r="83" spans="1:12" s="581" customFormat="1" ht="19.5" customHeight="1" x14ac:dyDescent="0.35">
      <c r="A83" s="373" t="s">
        <v>28</v>
      </c>
      <c r="B83" s="377">
        <f>B81-B82</f>
        <v>101.74</v>
      </c>
      <c r="C83" s="378"/>
      <c r="D83" s="378"/>
      <c r="E83" s="378"/>
      <c r="F83" s="378"/>
      <c r="G83" s="379"/>
      <c r="H83" s="2"/>
      <c r="I83" s="376"/>
      <c r="J83" s="376"/>
      <c r="K83" s="376"/>
      <c r="L83" s="658"/>
    </row>
    <row r="84" spans="1:12" s="581" customFormat="1" ht="27" customHeight="1" x14ac:dyDescent="0.45">
      <c r="A84" s="373" t="s">
        <v>29</v>
      </c>
      <c r="B84" s="380">
        <v>1</v>
      </c>
      <c r="C84" s="720" t="s">
        <v>87</v>
      </c>
      <c r="D84" s="721"/>
      <c r="E84" s="721"/>
      <c r="F84" s="721"/>
      <c r="G84" s="721"/>
      <c r="H84" s="722"/>
      <c r="I84" s="376"/>
      <c r="J84" s="376"/>
      <c r="K84" s="376"/>
      <c r="L84" s="658"/>
    </row>
    <row r="85" spans="1:12" s="581" customFormat="1" ht="27" customHeight="1" x14ac:dyDescent="0.45">
      <c r="A85" s="373" t="s">
        <v>31</v>
      </c>
      <c r="B85" s="380">
        <v>1</v>
      </c>
      <c r="C85" s="720" t="s">
        <v>88</v>
      </c>
      <c r="D85" s="721"/>
      <c r="E85" s="721"/>
      <c r="F85" s="721"/>
      <c r="G85" s="721"/>
      <c r="H85" s="722"/>
      <c r="I85" s="376"/>
      <c r="J85" s="376"/>
      <c r="K85" s="376"/>
      <c r="L85" s="658"/>
    </row>
    <row r="86" spans="1:12" s="581" customFormat="1" ht="18" x14ac:dyDescent="0.35">
      <c r="A86" s="373"/>
      <c r="B86" s="381"/>
      <c r="C86" s="382"/>
      <c r="D86" s="382"/>
      <c r="E86" s="382"/>
      <c r="F86" s="382"/>
      <c r="G86" s="382"/>
      <c r="H86" s="382"/>
      <c r="I86" s="376"/>
      <c r="J86" s="376"/>
      <c r="K86" s="376"/>
      <c r="L86" s="658"/>
    </row>
    <row r="87" spans="1:12" s="581" customFormat="1" ht="18" x14ac:dyDescent="0.35">
      <c r="A87" s="373" t="s">
        <v>33</v>
      </c>
      <c r="B87" s="383">
        <f>B84/B85</f>
        <v>1</v>
      </c>
      <c r="C87" s="363" t="s">
        <v>34</v>
      </c>
      <c r="D87" s="363"/>
      <c r="E87" s="363"/>
      <c r="F87" s="363"/>
      <c r="G87" s="363"/>
      <c r="H87" s="489"/>
      <c r="I87" s="376"/>
      <c r="J87" s="376"/>
      <c r="K87" s="376"/>
      <c r="L87" s="658"/>
    </row>
    <row r="88" spans="1:12" ht="19.5" customHeight="1" x14ac:dyDescent="0.35">
      <c r="A88" s="371"/>
      <c r="B88" s="371"/>
    </row>
    <row r="89" spans="1:12" ht="27" customHeight="1" x14ac:dyDescent="0.45">
      <c r="A89" s="384" t="s">
        <v>35</v>
      </c>
      <c r="B89" s="385">
        <v>25</v>
      </c>
      <c r="D89" s="471" t="s">
        <v>36</v>
      </c>
      <c r="E89" s="472"/>
      <c r="F89" s="723" t="s">
        <v>37</v>
      </c>
      <c r="G89" s="724"/>
    </row>
    <row r="90" spans="1:12" ht="27" customHeight="1" x14ac:dyDescent="0.45">
      <c r="A90" s="386" t="s">
        <v>38</v>
      </c>
      <c r="B90" s="387">
        <v>10</v>
      </c>
      <c r="C90" s="473" t="s">
        <v>39</v>
      </c>
      <c r="D90" s="389" t="s">
        <v>40</v>
      </c>
      <c r="E90" s="390" t="s">
        <v>41</v>
      </c>
      <c r="F90" s="389" t="s">
        <v>40</v>
      </c>
      <c r="G90" s="474" t="s">
        <v>41</v>
      </c>
      <c r="I90" s="392" t="s">
        <v>42</v>
      </c>
    </row>
    <row r="91" spans="1:12" ht="26.25" customHeight="1" x14ac:dyDescent="0.45">
      <c r="A91" s="386" t="s">
        <v>43</v>
      </c>
      <c r="B91" s="387">
        <v>20</v>
      </c>
      <c r="C91" s="475">
        <v>1</v>
      </c>
      <c r="D91" s="394">
        <v>108259694</v>
      </c>
      <c r="E91" s="395">
        <f>IF(ISBLANK(D91),"-",$D$101/$D$98*D91)</f>
        <v>82316806.190135896</v>
      </c>
      <c r="F91" s="394">
        <v>95515389</v>
      </c>
      <c r="G91" s="396">
        <f>IF(ISBLANK(F91),"-",$D$101/$F$98*F91)</f>
        <v>83179425.486203387</v>
      </c>
      <c r="I91" s="397"/>
    </row>
    <row r="92" spans="1:12" ht="26.25" customHeight="1" x14ac:dyDescent="0.45">
      <c r="A92" s="386" t="s">
        <v>44</v>
      </c>
      <c r="B92" s="387">
        <v>1</v>
      </c>
      <c r="C92" s="459">
        <v>2</v>
      </c>
      <c r="D92" s="399">
        <v>108804653</v>
      </c>
      <c r="E92" s="400">
        <f>IF(ISBLANK(D92),"-",$D$101/$D$98*D92)</f>
        <v>82731173.557408974</v>
      </c>
      <c r="F92" s="399">
        <v>93477754</v>
      </c>
      <c r="G92" s="401">
        <f>IF(ISBLANK(F92),"-",$D$101/$F$98*F92)</f>
        <v>81404954.268266141</v>
      </c>
      <c r="I92" s="739">
        <f>ABS((F96/D96*D95)-F95)/D95</f>
        <v>2.4696846877093931E-3</v>
      </c>
    </row>
    <row r="93" spans="1:12" ht="26.25" customHeight="1" x14ac:dyDescent="0.45">
      <c r="A93" s="386" t="s">
        <v>45</v>
      </c>
      <c r="B93" s="387">
        <v>1</v>
      </c>
      <c r="C93" s="459">
        <v>3</v>
      </c>
      <c r="D93" s="399">
        <v>108622756</v>
      </c>
      <c r="E93" s="400">
        <f>IF(ISBLANK(D93),"-",$D$101/$D$98*D93)</f>
        <v>82592865.572762668</v>
      </c>
      <c r="F93" s="399">
        <v>94569849</v>
      </c>
      <c r="G93" s="401">
        <f>IF(ISBLANK(F93),"-",$D$101/$F$98*F93)</f>
        <v>82356003.472246826</v>
      </c>
      <c r="I93" s="739"/>
    </row>
    <row r="94" spans="1:12" ht="27" customHeight="1" x14ac:dyDescent="0.45">
      <c r="A94" s="386" t="s">
        <v>46</v>
      </c>
      <c r="B94" s="387">
        <v>1</v>
      </c>
      <c r="C94" s="476">
        <v>4</v>
      </c>
      <c r="D94" s="404"/>
      <c r="E94" s="405" t="str">
        <f>IF(ISBLANK(D94),"-",$D$101/$D$98*D94)</f>
        <v>-</v>
      </c>
      <c r="F94" s="477"/>
      <c r="G94" s="406" t="str">
        <f>IF(ISBLANK(F94),"-",$D$101/$F$98*F94)</f>
        <v>-</v>
      </c>
      <c r="I94" s="407"/>
    </row>
    <row r="95" spans="1:12" ht="27" customHeight="1" x14ac:dyDescent="0.45">
      <c r="A95" s="386" t="s">
        <v>47</v>
      </c>
      <c r="B95" s="387">
        <v>1</v>
      </c>
      <c r="C95" s="478" t="s">
        <v>48</v>
      </c>
      <c r="D95" s="479">
        <f>AVERAGE(D91:D94)</f>
        <v>108562367.66666667</v>
      </c>
      <c r="E95" s="410">
        <f>AVERAGE(E91:E94)</f>
        <v>82546948.440102518</v>
      </c>
      <c r="F95" s="480">
        <f>AVERAGE(F91:F94)</f>
        <v>94520997.333333328</v>
      </c>
      <c r="G95" s="481">
        <f>AVERAGE(G91:G94)</f>
        <v>82313461.075572118</v>
      </c>
    </row>
    <row r="96" spans="1:12" ht="26.25" customHeight="1" x14ac:dyDescent="0.45">
      <c r="A96" s="386" t="s">
        <v>49</v>
      </c>
      <c r="B96" s="374">
        <v>1</v>
      </c>
      <c r="C96" s="482" t="s">
        <v>89</v>
      </c>
      <c r="D96" s="483">
        <v>19.39</v>
      </c>
      <c r="E96" s="402"/>
      <c r="F96" s="414">
        <v>16.93</v>
      </c>
    </row>
    <row r="97" spans="1:10" ht="26.25" customHeight="1" x14ac:dyDescent="0.45">
      <c r="A97" s="386" t="s">
        <v>51</v>
      </c>
      <c r="B97" s="374">
        <v>1</v>
      </c>
      <c r="C97" s="484" t="s">
        <v>90</v>
      </c>
      <c r="D97" s="485">
        <f>D96*$B$87</f>
        <v>19.39</v>
      </c>
      <c r="E97" s="417"/>
      <c r="F97" s="416">
        <f>F96*$B$87</f>
        <v>16.93</v>
      </c>
    </row>
    <row r="98" spans="1:10" ht="19.5" customHeight="1" x14ac:dyDescent="0.35">
      <c r="A98" s="386" t="s">
        <v>53</v>
      </c>
      <c r="B98" s="486">
        <f>(B97/B96)*(B95/B94)*(B93/B92)*(B91/B90)*B89</f>
        <v>50</v>
      </c>
      <c r="C98" s="484" t="s">
        <v>91</v>
      </c>
      <c r="D98" s="487">
        <f>D97*$B$83/100</f>
        <v>19.727385999999999</v>
      </c>
      <c r="E98" s="420"/>
      <c r="F98" s="419">
        <f>F97*$B$83/100</f>
        <v>17.224581999999998</v>
      </c>
    </row>
    <row r="99" spans="1:10" ht="19.5" customHeight="1" x14ac:dyDescent="0.35">
      <c r="A99" s="725" t="s">
        <v>55</v>
      </c>
      <c r="B99" s="726"/>
      <c r="C99" s="484" t="s">
        <v>92</v>
      </c>
      <c r="D99" s="488">
        <f>D98/$B$98</f>
        <v>0.39454771999999999</v>
      </c>
      <c r="E99" s="420"/>
      <c r="F99" s="423">
        <f>F98/$B$98</f>
        <v>0.34449163999999999</v>
      </c>
      <c r="G99" s="489"/>
      <c r="H99" s="412"/>
    </row>
    <row r="100" spans="1:10" ht="19.5" customHeight="1" x14ac:dyDescent="0.35">
      <c r="A100" s="727"/>
      <c r="B100" s="728"/>
      <c r="C100" s="484" t="s">
        <v>57</v>
      </c>
      <c r="D100" s="490">
        <f>$B$56/$B$116</f>
        <v>0.3</v>
      </c>
      <c r="F100" s="428"/>
      <c r="G100" s="491"/>
      <c r="H100" s="412"/>
    </row>
    <row r="101" spans="1:10" ht="18" x14ac:dyDescent="0.35">
      <c r="C101" s="484" t="s">
        <v>58</v>
      </c>
      <c r="D101" s="485">
        <f>D100*$B$98</f>
        <v>15</v>
      </c>
      <c r="F101" s="428"/>
      <c r="G101" s="489"/>
      <c r="H101" s="412"/>
    </row>
    <row r="102" spans="1:10" ht="19.5" customHeight="1" x14ac:dyDescent="0.35">
      <c r="C102" s="492" t="s">
        <v>59</v>
      </c>
      <c r="D102" s="493">
        <f>D101/B34</f>
        <v>15</v>
      </c>
      <c r="F102" s="432"/>
      <c r="G102" s="489"/>
      <c r="H102" s="412"/>
      <c r="J102" s="494"/>
    </row>
    <row r="103" spans="1:10" ht="18" x14ac:dyDescent="0.35">
      <c r="C103" s="495" t="s">
        <v>93</v>
      </c>
      <c r="D103" s="496">
        <f>AVERAGE(E91:E94,G91:G94)</f>
        <v>82430204.75783731</v>
      </c>
      <c r="F103" s="432"/>
      <c r="G103" s="497"/>
      <c r="H103" s="412"/>
      <c r="J103" s="498"/>
    </row>
    <row r="104" spans="1:10" ht="18" x14ac:dyDescent="0.35">
      <c r="C104" s="462" t="s">
        <v>61</v>
      </c>
      <c r="D104" s="499">
        <f>STDEV(E91:E94,G91:G94)/D103</f>
        <v>7.1727210302582976E-3</v>
      </c>
      <c r="F104" s="432"/>
      <c r="G104" s="489"/>
      <c r="H104" s="412"/>
      <c r="J104" s="498"/>
    </row>
    <row r="105" spans="1:10" ht="19.5" customHeight="1" x14ac:dyDescent="0.35">
      <c r="C105" s="464" t="s">
        <v>3</v>
      </c>
      <c r="D105" s="500">
        <f>COUNT(E91:E94,G91:G94)</f>
        <v>6</v>
      </c>
      <c r="F105" s="432"/>
      <c r="G105" s="489"/>
      <c r="H105" s="412"/>
      <c r="J105" s="498"/>
    </row>
    <row r="106" spans="1:10" ht="19.5" customHeight="1" x14ac:dyDescent="0.35">
      <c r="A106" s="436"/>
      <c r="B106" s="436"/>
      <c r="C106" s="436"/>
      <c r="D106" s="436"/>
      <c r="E106" s="436"/>
    </row>
    <row r="107" spans="1:10" ht="26.25" customHeight="1" x14ac:dyDescent="0.45">
      <c r="A107" s="384" t="s">
        <v>94</v>
      </c>
      <c r="B107" s="385">
        <v>1000</v>
      </c>
      <c r="C107" s="501" t="s">
        <v>121</v>
      </c>
      <c r="D107" s="502" t="s">
        <v>40</v>
      </c>
      <c r="E107" s="503" t="s">
        <v>95</v>
      </c>
      <c r="F107" s="504" t="s">
        <v>96</v>
      </c>
      <c r="H107" s="660">
        <f>D113/D103*D100*B116/300</f>
        <v>0.99450687088346379</v>
      </c>
    </row>
    <row r="108" spans="1:10" ht="26.25" customHeight="1" x14ac:dyDescent="0.45">
      <c r="A108" s="386" t="s">
        <v>97</v>
      </c>
      <c r="B108" s="387">
        <v>1</v>
      </c>
      <c r="C108" s="505">
        <v>1</v>
      </c>
      <c r="D108" s="506">
        <v>74888895</v>
      </c>
      <c r="E108" s="536">
        <f t="shared" ref="E108:E113" si="1">IF(ISBLANK(D108),"-",D108/$D$103*$D$100*$B$116)</f>
        <v>272.55383589064672</v>
      </c>
      <c r="F108" s="507">
        <f t="shared" ref="F108:F113" si="2">IF(ISBLANK(D108), "-", E108/$B$56)</f>
        <v>0.90851278630215571</v>
      </c>
    </row>
    <row r="109" spans="1:10" ht="26.25" customHeight="1" x14ac:dyDescent="0.45">
      <c r="A109" s="386" t="s">
        <v>71</v>
      </c>
      <c r="B109" s="387">
        <v>1</v>
      </c>
      <c r="C109" s="505">
        <v>2</v>
      </c>
      <c r="D109" s="506">
        <v>83194719</v>
      </c>
      <c r="E109" s="537">
        <f t="shared" si="1"/>
        <v>302.78240571308294</v>
      </c>
      <c r="F109" s="508">
        <f t="shared" si="2"/>
        <v>1.0092746857102766</v>
      </c>
    </row>
    <row r="110" spans="1:10" ht="26.25" customHeight="1" x14ac:dyDescent="0.45">
      <c r="A110" s="386" t="s">
        <v>72</v>
      </c>
      <c r="B110" s="387">
        <v>1</v>
      </c>
      <c r="C110" s="505">
        <v>3</v>
      </c>
      <c r="D110" s="506">
        <v>82356505</v>
      </c>
      <c r="E110" s="537">
        <f t="shared" si="1"/>
        <v>299.73177396057491</v>
      </c>
      <c r="F110" s="508">
        <f t="shared" si="2"/>
        <v>0.99910591320191633</v>
      </c>
    </row>
    <row r="111" spans="1:10" ht="26.25" customHeight="1" x14ac:dyDescent="0.45">
      <c r="A111" s="386" t="s">
        <v>73</v>
      </c>
      <c r="B111" s="387">
        <v>1</v>
      </c>
      <c r="C111" s="505">
        <v>4</v>
      </c>
      <c r="D111" s="506">
        <v>80713259</v>
      </c>
      <c r="E111" s="537">
        <f t="shared" si="1"/>
        <v>293.75127444042624</v>
      </c>
      <c r="F111" s="508">
        <f t="shared" si="2"/>
        <v>0.97917091480142082</v>
      </c>
    </row>
    <row r="112" spans="1:10" ht="26.25" customHeight="1" x14ac:dyDescent="0.45">
      <c r="A112" s="386" t="s">
        <v>74</v>
      </c>
      <c r="B112" s="387">
        <v>1</v>
      </c>
      <c r="C112" s="505">
        <v>5</v>
      </c>
      <c r="D112" s="506">
        <v>80281277</v>
      </c>
      <c r="E112" s="537">
        <f t="shared" si="1"/>
        <v>292.17910074049769</v>
      </c>
      <c r="F112" s="508">
        <f t="shared" si="2"/>
        <v>0.973930335801659</v>
      </c>
    </row>
    <row r="113" spans="1:10" ht="26.25" customHeight="1" x14ac:dyDescent="0.45">
      <c r="A113" s="386" t="s">
        <v>76</v>
      </c>
      <c r="B113" s="387">
        <v>1</v>
      </c>
      <c r="C113" s="509">
        <v>6</v>
      </c>
      <c r="D113" s="510">
        <v>81977405</v>
      </c>
      <c r="E113" s="538">
        <f t="shared" si="1"/>
        <v>298.35206126503914</v>
      </c>
      <c r="F113" s="511">
        <f t="shared" si="2"/>
        <v>0.99450687088346379</v>
      </c>
    </row>
    <row r="114" spans="1:10" ht="26.25" customHeight="1" x14ac:dyDescent="0.45">
      <c r="A114" s="386" t="s">
        <v>77</v>
      </c>
      <c r="B114" s="387">
        <v>1</v>
      </c>
      <c r="C114" s="505"/>
      <c r="D114" s="459"/>
      <c r="E114" s="362"/>
      <c r="F114" s="512"/>
    </row>
    <row r="115" spans="1:10" ht="26.25" customHeight="1" x14ac:dyDescent="0.45">
      <c r="A115" s="386" t="s">
        <v>78</v>
      </c>
      <c r="B115" s="387">
        <v>1</v>
      </c>
      <c r="C115" s="505"/>
      <c r="D115" s="513" t="s">
        <v>48</v>
      </c>
      <c r="E115" s="540">
        <f>AVERAGE(E108:E113)</f>
        <v>293.22507533504455</v>
      </c>
      <c r="F115" s="514">
        <f>AVERAGE(F108:F113)</f>
        <v>0.97741691778348194</v>
      </c>
    </row>
    <row r="116" spans="1:10" ht="27" customHeight="1" x14ac:dyDescent="0.45">
      <c r="A116" s="386" t="s">
        <v>79</v>
      </c>
      <c r="B116" s="418">
        <f>(B115/B114)*(B113/B112)*(B111/B110)*(B109/B108)*B107</f>
        <v>1000</v>
      </c>
      <c r="C116" s="515"/>
      <c r="D116" s="478" t="s">
        <v>61</v>
      </c>
      <c r="E116" s="516">
        <f>STDEV(E108:E113)/E115</f>
        <v>3.7003055139498642E-2</v>
      </c>
      <c r="F116" s="516">
        <f>STDEV(F108:F113)/F115</f>
        <v>3.700305513949867E-2</v>
      </c>
      <c r="I116" s="362"/>
    </row>
    <row r="117" spans="1:10" ht="27" customHeight="1" x14ac:dyDescent="0.45">
      <c r="A117" s="725" t="s">
        <v>55</v>
      </c>
      <c r="B117" s="737"/>
      <c r="C117" s="517"/>
      <c r="D117" s="518" t="s">
        <v>3</v>
      </c>
      <c r="E117" s="519">
        <f>COUNT(E108:E113)</f>
        <v>6</v>
      </c>
      <c r="F117" s="519">
        <f>COUNT(F108:F113)</f>
        <v>6</v>
      </c>
      <c r="I117" s="362"/>
      <c r="J117" s="498"/>
    </row>
    <row r="118" spans="1:10" ht="19.5" customHeight="1" x14ac:dyDescent="0.35">
      <c r="A118" s="727"/>
      <c r="B118" s="738"/>
      <c r="C118" s="362"/>
      <c r="D118" s="362"/>
      <c r="E118" s="362"/>
      <c r="F118" s="459"/>
      <c r="G118" s="362"/>
      <c r="H118" s="362"/>
      <c r="I118" s="362"/>
    </row>
    <row r="119" spans="1:10" ht="18" x14ac:dyDescent="0.35">
      <c r="A119" s="528"/>
      <c r="B119" s="382"/>
      <c r="C119" s="362"/>
      <c r="D119" s="362"/>
      <c r="E119" s="362"/>
      <c r="F119" s="459"/>
      <c r="G119" s="362"/>
      <c r="H119" s="362"/>
      <c r="I119" s="362"/>
    </row>
    <row r="120" spans="1:10" ht="26.25" customHeight="1" x14ac:dyDescent="0.45">
      <c r="A120" s="372" t="s">
        <v>82</v>
      </c>
      <c r="B120" s="466" t="s">
        <v>98</v>
      </c>
      <c r="C120" s="715" t="str">
        <f>B79</f>
        <v>LAMIVUDINE</v>
      </c>
      <c r="D120" s="715"/>
      <c r="E120" s="467" t="s">
        <v>99</v>
      </c>
      <c r="F120" s="467"/>
      <c r="G120" s="468">
        <f>F115</f>
        <v>0.97741691778348194</v>
      </c>
      <c r="H120" s="362"/>
      <c r="I120" s="362"/>
    </row>
    <row r="121" spans="1:10" ht="19.5" customHeight="1" x14ac:dyDescent="0.35">
      <c r="A121" s="520"/>
      <c r="B121" s="520"/>
      <c r="C121" s="521"/>
      <c r="D121" s="521"/>
      <c r="E121" s="521"/>
      <c r="F121" s="521"/>
      <c r="G121" s="521"/>
      <c r="H121" s="521"/>
    </row>
    <row r="122" spans="1:10" ht="18" x14ac:dyDescent="0.35">
      <c r="B122" s="716" t="s">
        <v>4</v>
      </c>
      <c r="C122" s="716"/>
      <c r="E122" s="473" t="s">
        <v>5</v>
      </c>
      <c r="F122" s="522"/>
      <c r="G122" s="716" t="s">
        <v>6</v>
      </c>
      <c r="H122" s="716"/>
    </row>
    <row r="123" spans="1:10" ht="69.900000000000006" customHeight="1" x14ac:dyDescent="0.35">
      <c r="A123" s="523" t="s">
        <v>7</v>
      </c>
      <c r="B123" s="524"/>
      <c r="C123" s="524"/>
      <c r="E123" s="524"/>
      <c r="F123" s="362"/>
      <c r="G123" s="525"/>
      <c r="H123" s="525"/>
    </row>
    <row r="124" spans="1:10" ht="69.900000000000006" customHeight="1" x14ac:dyDescent="0.35">
      <c r="A124" s="523" t="s">
        <v>8</v>
      </c>
      <c r="B124" s="526"/>
      <c r="C124" s="526"/>
      <c r="E124" s="526"/>
      <c r="F124" s="362"/>
      <c r="G124" s="527"/>
      <c r="H124" s="527"/>
    </row>
    <row r="125" spans="1:10" ht="18" x14ac:dyDescent="0.35">
      <c r="A125" s="458"/>
      <c r="B125" s="458"/>
      <c r="C125" s="459"/>
      <c r="D125" s="459"/>
      <c r="E125" s="459"/>
      <c r="F125" s="463"/>
      <c r="G125" s="459"/>
      <c r="H125" s="459"/>
      <c r="I125" s="362"/>
    </row>
    <row r="126" spans="1:10" ht="18" x14ac:dyDescent="0.35">
      <c r="A126" s="458"/>
      <c r="B126" s="458"/>
      <c r="C126" s="459"/>
      <c r="D126" s="459"/>
      <c r="E126" s="459"/>
      <c r="F126" s="463"/>
      <c r="G126" s="459"/>
      <c r="H126" s="459"/>
      <c r="I126" s="362"/>
    </row>
    <row r="127" spans="1:10" ht="18" x14ac:dyDescent="0.35">
      <c r="A127" s="458"/>
      <c r="B127" s="458"/>
      <c r="C127" s="459"/>
      <c r="D127" s="459"/>
      <c r="E127" s="459"/>
      <c r="F127" s="463"/>
      <c r="G127" s="459"/>
      <c r="H127" s="459"/>
      <c r="I127" s="362"/>
    </row>
    <row r="128" spans="1:10" ht="18" x14ac:dyDescent="0.35">
      <c r="A128" s="458"/>
      <c r="B128" s="458"/>
      <c r="C128" s="459"/>
      <c r="D128" s="459"/>
      <c r="E128" s="459"/>
      <c r="F128" s="463"/>
      <c r="G128" s="459"/>
      <c r="H128" s="459"/>
      <c r="I128" s="362"/>
    </row>
    <row r="129" spans="1:9" ht="18" x14ac:dyDescent="0.35">
      <c r="A129" s="458"/>
      <c r="B129" s="458"/>
      <c r="C129" s="459"/>
      <c r="D129" s="459"/>
      <c r="E129" s="459"/>
      <c r="F129" s="463"/>
      <c r="G129" s="459"/>
      <c r="H129" s="459"/>
      <c r="I129" s="362"/>
    </row>
    <row r="130" spans="1:9" ht="18" x14ac:dyDescent="0.35">
      <c r="A130" s="458"/>
      <c r="B130" s="458"/>
      <c r="C130" s="459"/>
      <c r="D130" s="459"/>
      <c r="E130" s="459"/>
      <c r="F130" s="463"/>
      <c r="G130" s="459"/>
      <c r="H130" s="459"/>
      <c r="I130" s="362"/>
    </row>
    <row r="131" spans="1:9" ht="18" x14ac:dyDescent="0.35">
      <c r="A131" s="458"/>
      <c r="B131" s="458"/>
      <c r="C131" s="459"/>
      <c r="D131" s="459"/>
      <c r="E131" s="459"/>
      <c r="F131" s="463"/>
      <c r="G131" s="459"/>
      <c r="H131" s="459"/>
      <c r="I131" s="362"/>
    </row>
    <row r="132" spans="1:9" ht="18" x14ac:dyDescent="0.35">
      <c r="A132" s="458"/>
      <c r="B132" s="458"/>
      <c r="C132" s="459"/>
      <c r="D132" s="459"/>
      <c r="E132" s="459"/>
      <c r="F132" s="463"/>
      <c r="G132" s="459"/>
      <c r="H132" s="459"/>
      <c r="I132" s="362"/>
    </row>
    <row r="133" spans="1:9" ht="18" x14ac:dyDescent="0.35">
      <c r="A133" s="458"/>
      <c r="B133" s="458"/>
      <c r="C133" s="459"/>
      <c r="D133" s="459"/>
      <c r="E133" s="459"/>
      <c r="F133" s="463"/>
      <c r="G133" s="459"/>
      <c r="H133" s="459"/>
      <c r="I133" s="362"/>
    </row>
    <row r="250" spans="1:1" x14ac:dyDescent="0.3">
      <c r="A250" s="1">
        <v>5</v>
      </c>
    </row>
  </sheetData>
  <sheetProtection formatColumns="0" formatRows="0" insertColumns="0" insertHyperlinks="0" deleteColumns="0" deleteRows="0" autoFilter="0" pivotTables="0"/>
  <mergeCells count="29">
    <mergeCell ref="A16:H16"/>
    <mergeCell ref="A17:H17"/>
    <mergeCell ref="C29:G29"/>
    <mergeCell ref="C31:H31"/>
    <mergeCell ref="C32:H32"/>
    <mergeCell ref="C64:C67"/>
    <mergeCell ref="D64:D67"/>
    <mergeCell ref="A1:I7"/>
    <mergeCell ref="A8:I14"/>
    <mergeCell ref="A117:B118"/>
    <mergeCell ref="I92:I93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C120:D120"/>
    <mergeCell ref="B122:C122"/>
    <mergeCell ref="G122:H122"/>
    <mergeCell ref="C82:G82"/>
    <mergeCell ref="C84:H84"/>
    <mergeCell ref="C85:H85"/>
    <mergeCell ref="F89:G89"/>
    <mergeCell ref="A99:B100"/>
  </mergeCells>
  <conditionalFormatting sqref="E51">
    <cfRule type="cellIs" dxfId="24" priority="1" operator="greaterThan">
      <formula>0.02</formula>
    </cfRule>
  </conditionalFormatting>
  <conditionalFormatting sqref="D51">
    <cfRule type="cellIs" dxfId="23" priority="2" operator="greaterThan">
      <formula>0.02</formula>
    </cfRule>
  </conditionalFormatting>
  <conditionalFormatting sqref="G73">
    <cfRule type="cellIs" dxfId="22" priority="3" operator="greaterThan">
      <formula>0.02</formula>
    </cfRule>
  </conditionalFormatting>
  <conditionalFormatting sqref="D104">
    <cfRule type="cellIs" dxfId="21" priority="5" operator="greaterThan">
      <formula>0.02</formula>
    </cfRule>
  </conditionalFormatting>
  <conditionalFormatting sqref="I39">
    <cfRule type="cellIs" dxfId="20" priority="6" operator="lessThanOrEqual">
      <formula>0.02</formula>
    </cfRule>
  </conditionalFormatting>
  <conditionalFormatting sqref="I39">
    <cfRule type="cellIs" dxfId="19" priority="7" operator="greaterThan">
      <formula>0.02</formula>
    </cfRule>
  </conditionalFormatting>
  <conditionalFormatting sqref="I92">
    <cfRule type="cellIs" dxfId="18" priority="8" operator="lessThanOrEqual">
      <formula>0.02</formula>
    </cfRule>
  </conditionalFormatting>
  <conditionalFormatting sqref="I92">
    <cfRule type="cellIs" dxfId="17" priority="9" operator="greaterThan">
      <formula>0.02</formula>
    </cfRule>
  </conditionalFormatting>
  <printOptions horizontalCentered="1" verticalCentered="1"/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7" zoomScale="60" zoomScaleNormal="70" zoomScalePageLayoutView="55" workbookViewId="0">
      <selection activeCell="H114" sqref="H114"/>
    </sheetView>
  </sheetViews>
  <sheetFormatPr defaultColWidth="9.109375" defaultRowHeight="13.8" x14ac:dyDescent="0.3"/>
  <cols>
    <col min="1" max="1" width="55.44140625" style="1" customWidth="1"/>
    <col min="2" max="2" width="33.6640625" style="1" customWidth="1"/>
    <col min="3" max="3" width="42.33203125" style="1" customWidth="1"/>
    <col min="4" max="4" width="30.5546875" style="1" customWidth="1"/>
    <col min="5" max="5" width="39.88671875" style="1" customWidth="1"/>
    <col min="6" max="6" width="30.6640625" style="1" customWidth="1"/>
    <col min="7" max="7" width="39.88671875" style="1" customWidth="1"/>
    <col min="8" max="8" width="30" style="1" customWidth="1"/>
    <col min="9" max="9" width="30.33203125" style="1" hidden="1" customWidth="1"/>
    <col min="10" max="10" width="30.44140625" style="1" customWidth="1"/>
    <col min="11" max="11" width="21.33203125" style="1" customWidth="1"/>
    <col min="12" max="12" width="9.109375" style="1"/>
    <col min="13" max="16384" width="9.109375" style="584"/>
  </cols>
  <sheetData>
    <row r="1" spans="1:12" customFormat="1" ht="18.75" customHeight="1" x14ac:dyDescent="0.3">
      <c r="A1" s="735" t="s">
        <v>22</v>
      </c>
      <c r="B1" s="735"/>
      <c r="C1" s="735"/>
      <c r="D1" s="735"/>
      <c r="E1" s="735"/>
      <c r="F1" s="735"/>
      <c r="G1" s="735"/>
      <c r="H1" s="735"/>
      <c r="I1" s="735"/>
      <c r="J1" s="1"/>
      <c r="K1" s="1"/>
      <c r="L1" s="1"/>
    </row>
    <row r="2" spans="1:12" customFormat="1" ht="18.75" customHeight="1" x14ac:dyDescent="0.3">
      <c r="A2" s="735"/>
      <c r="B2" s="735"/>
      <c r="C2" s="735"/>
      <c r="D2" s="735"/>
      <c r="E2" s="735"/>
      <c r="F2" s="735"/>
      <c r="G2" s="735"/>
      <c r="H2" s="735"/>
      <c r="I2" s="735"/>
      <c r="J2" s="1"/>
      <c r="K2" s="1"/>
      <c r="L2" s="1"/>
    </row>
    <row r="3" spans="1:12" customFormat="1" ht="18.75" customHeight="1" x14ac:dyDescent="0.3">
      <c r="A3" s="735"/>
      <c r="B3" s="735"/>
      <c r="C3" s="735"/>
      <c r="D3" s="735"/>
      <c r="E3" s="735"/>
      <c r="F3" s="735"/>
      <c r="G3" s="735"/>
      <c r="H3" s="735"/>
      <c r="I3" s="735"/>
      <c r="J3" s="1"/>
      <c r="K3" s="1"/>
      <c r="L3" s="1"/>
    </row>
    <row r="4" spans="1:12" customFormat="1" ht="18.75" customHeight="1" x14ac:dyDescent="0.3">
      <c r="A4" s="735"/>
      <c r="B4" s="735"/>
      <c r="C4" s="735"/>
      <c r="D4" s="735"/>
      <c r="E4" s="735"/>
      <c r="F4" s="735"/>
      <c r="G4" s="735"/>
      <c r="H4" s="735"/>
      <c r="I4" s="735"/>
      <c r="J4" s="1"/>
      <c r="K4" s="1"/>
      <c r="L4" s="1"/>
    </row>
    <row r="5" spans="1:12" customFormat="1" ht="18.75" customHeight="1" x14ac:dyDescent="0.3">
      <c r="A5" s="735"/>
      <c r="B5" s="735"/>
      <c r="C5" s="735"/>
      <c r="D5" s="735"/>
      <c r="E5" s="735"/>
      <c r="F5" s="735"/>
      <c r="G5" s="735"/>
      <c r="H5" s="735"/>
      <c r="I5" s="735"/>
      <c r="J5" s="1"/>
      <c r="K5" s="1"/>
      <c r="L5" s="1"/>
    </row>
    <row r="6" spans="1:12" customFormat="1" ht="18.75" customHeight="1" x14ac:dyDescent="0.3">
      <c r="A6" s="735"/>
      <c r="B6" s="735"/>
      <c r="C6" s="735"/>
      <c r="D6" s="735"/>
      <c r="E6" s="735"/>
      <c r="F6" s="735"/>
      <c r="G6" s="735"/>
      <c r="H6" s="735"/>
      <c r="I6" s="735"/>
      <c r="J6" s="1"/>
      <c r="K6" s="1"/>
      <c r="L6" s="1"/>
    </row>
    <row r="7" spans="1:12" customFormat="1" ht="18.75" customHeight="1" x14ac:dyDescent="0.3">
      <c r="A7" s="735"/>
      <c r="B7" s="735"/>
      <c r="C7" s="735"/>
      <c r="D7" s="735"/>
      <c r="E7" s="735"/>
      <c r="F7" s="735"/>
      <c r="G7" s="735"/>
      <c r="H7" s="735"/>
      <c r="I7" s="735"/>
      <c r="J7" s="1"/>
      <c r="K7" s="1"/>
      <c r="L7" s="1"/>
    </row>
    <row r="8" spans="1:12" customFormat="1" x14ac:dyDescent="0.3">
      <c r="A8" s="736" t="s">
        <v>23</v>
      </c>
      <c r="B8" s="736"/>
      <c r="C8" s="736"/>
      <c r="D8" s="736"/>
      <c r="E8" s="736"/>
      <c r="F8" s="736"/>
      <c r="G8" s="736"/>
      <c r="H8" s="736"/>
      <c r="I8" s="736"/>
      <c r="J8" s="1"/>
      <c r="K8" s="1"/>
      <c r="L8" s="1"/>
    </row>
    <row r="9" spans="1:12" customFormat="1" x14ac:dyDescent="0.3">
      <c r="A9" s="736"/>
      <c r="B9" s="736"/>
      <c r="C9" s="736"/>
      <c r="D9" s="736"/>
      <c r="E9" s="736"/>
      <c r="F9" s="736"/>
      <c r="G9" s="736"/>
      <c r="H9" s="736"/>
      <c r="I9" s="736"/>
      <c r="J9" s="1"/>
      <c r="K9" s="1"/>
      <c r="L9" s="1"/>
    </row>
    <row r="10" spans="1:12" customFormat="1" x14ac:dyDescent="0.3">
      <c r="A10" s="736"/>
      <c r="B10" s="736"/>
      <c r="C10" s="736"/>
      <c r="D10" s="736"/>
      <c r="E10" s="736"/>
      <c r="F10" s="736"/>
      <c r="G10" s="736"/>
      <c r="H10" s="736"/>
      <c r="I10" s="736"/>
      <c r="J10" s="1"/>
      <c r="K10" s="1"/>
      <c r="L10" s="1"/>
    </row>
    <row r="11" spans="1:12" customFormat="1" x14ac:dyDescent="0.3">
      <c r="A11" s="736"/>
      <c r="B11" s="736"/>
      <c r="C11" s="736"/>
      <c r="D11" s="736"/>
      <c r="E11" s="736"/>
      <c r="F11" s="736"/>
      <c r="G11" s="736"/>
      <c r="H11" s="736"/>
      <c r="I11" s="736"/>
      <c r="J11" s="1"/>
      <c r="K11" s="1"/>
      <c r="L11" s="1"/>
    </row>
    <row r="12" spans="1:12" customFormat="1" x14ac:dyDescent="0.3">
      <c r="A12" s="736"/>
      <c r="B12" s="736"/>
      <c r="C12" s="736"/>
      <c r="D12" s="736"/>
      <c r="E12" s="736"/>
      <c r="F12" s="736"/>
      <c r="G12" s="736"/>
      <c r="H12" s="736"/>
      <c r="I12" s="736"/>
      <c r="J12" s="1"/>
      <c r="K12" s="1"/>
      <c r="L12" s="1"/>
    </row>
    <row r="13" spans="1:12" customFormat="1" x14ac:dyDescent="0.3">
      <c r="A13" s="736"/>
      <c r="B13" s="736"/>
      <c r="C13" s="736"/>
      <c r="D13" s="736"/>
      <c r="E13" s="736"/>
      <c r="F13" s="736"/>
      <c r="G13" s="736"/>
      <c r="H13" s="736"/>
      <c r="I13" s="736"/>
      <c r="J13" s="1"/>
      <c r="K13" s="1"/>
      <c r="L13" s="1"/>
    </row>
    <row r="14" spans="1:12" customFormat="1" x14ac:dyDescent="0.3">
      <c r="A14" s="736"/>
      <c r="B14" s="736"/>
      <c r="C14" s="736"/>
      <c r="D14" s="736"/>
      <c r="E14" s="736"/>
      <c r="F14" s="736"/>
      <c r="G14" s="736"/>
      <c r="H14" s="736"/>
      <c r="I14" s="736"/>
      <c r="J14" s="1"/>
      <c r="K14" s="1"/>
      <c r="L14" s="1"/>
    </row>
    <row r="15" spans="1:12" customFormat="1" ht="19.5" customHeight="1" x14ac:dyDescent="0.35">
      <c r="A15" s="18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customFormat="1" ht="19.5" customHeight="1" x14ac:dyDescent="0.35">
      <c r="A16" s="746" t="s">
        <v>9</v>
      </c>
      <c r="B16" s="747"/>
      <c r="C16" s="747"/>
      <c r="D16" s="747"/>
      <c r="E16" s="747"/>
      <c r="F16" s="747"/>
      <c r="G16" s="747"/>
      <c r="H16" s="748"/>
      <c r="I16" s="1"/>
      <c r="J16" s="1"/>
      <c r="K16" s="1"/>
      <c r="L16" s="1"/>
    </row>
    <row r="17" spans="1:14" customFormat="1" ht="20.25" customHeight="1" x14ac:dyDescent="0.3">
      <c r="A17" s="749" t="s">
        <v>24</v>
      </c>
      <c r="B17" s="749"/>
      <c r="C17" s="749"/>
      <c r="D17" s="749"/>
      <c r="E17" s="749"/>
      <c r="F17" s="749"/>
      <c r="G17" s="749"/>
      <c r="H17" s="749"/>
      <c r="I17" s="1"/>
      <c r="J17" s="1"/>
      <c r="K17" s="1"/>
      <c r="L17" s="1"/>
    </row>
    <row r="18" spans="1:14" customFormat="1" ht="26.25" customHeight="1" x14ac:dyDescent="0.5">
      <c r="A18" s="183" t="s">
        <v>11</v>
      </c>
      <c r="B18" s="652" t="s">
        <v>126</v>
      </c>
      <c r="C18" s="652"/>
      <c r="D18" s="348"/>
      <c r="E18" s="184"/>
      <c r="F18" s="185"/>
      <c r="G18" s="185"/>
      <c r="H18" s="185"/>
      <c r="I18" s="1"/>
      <c r="J18" s="1"/>
      <c r="K18" s="1"/>
      <c r="L18" s="1"/>
    </row>
    <row r="19" spans="1:14" customFormat="1" ht="26.25" customHeight="1" x14ac:dyDescent="0.5">
      <c r="A19" s="183" t="s">
        <v>12</v>
      </c>
      <c r="B19" s="186" t="s">
        <v>139</v>
      </c>
      <c r="C19" s="361">
        <v>29</v>
      </c>
      <c r="D19" s="185"/>
      <c r="E19" s="185"/>
      <c r="F19" s="185"/>
      <c r="G19" s="185"/>
      <c r="H19" s="185"/>
      <c r="I19" s="1"/>
      <c r="J19" s="1"/>
      <c r="K19" s="1"/>
      <c r="L19" s="1"/>
    </row>
    <row r="20" spans="1:14" customFormat="1" ht="26.25" customHeight="1" x14ac:dyDescent="0.5">
      <c r="A20" s="183" t="s">
        <v>13</v>
      </c>
      <c r="B20" s="653" t="s">
        <v>127</v>
      </c>
      <c r="C20" s="653"/>
      <c r="D20" s="185"/>
      <c r="E20" s="185"/>
      <c r="F20" s="185"/>
      <c r="G20" s="185"/>
      <c r="H20" s="185"/>
      <c r="I20" s="1"/>
      <c r="J20" s="1"/>
      <c r="K20" s="1"/>
      <c r="L20" s="1"/>
    </row>
    <row r="21" spans="1:14" customFormat="1" ht="26.25" customHeight="1" x14ac:dyDescent="0.5">
      <c r="A21" s="183" t="s">
        <v>14</v>
      </c>
      <c r="B21" s="751" t="s">
        <v>129</v>
      </c>
      <c r="C21" s="751"/>
      <c r="D21" s="751"/>
      <c r="E21" s="751"/>
      <c r="F21" s="751"/>
      <c r="G21" s="751"/>
      <c r="H21" s="751"/>
      <c r="I21" s="187"/>
      <c r="J21" s="1"/>
      <c r="K21" s="1"/>
      <c r="L21" s="1"/>
    </row>
    <row r="22" spans="1:14" customFormat="1" ht="26.25" customHeight="1" x14ac:dyDescent="0.5">
      <c r="A22" s="183" t="s">
        <v>15</v>
      </c>
      <c r="B22" s="188">
        <v>42495.458773148152</v>
      </c>
      <c r="C22" s="185"/>
      <c r="D22" s="185"/>
      <c r="E22" s="185"/>
      <c r="F22" s="185"/>
      <c r="G22" s="185"/>
      <c r="H22" s="185"/>
      <c r="I22" s="1"/>
      <c r="J22" s="1"/>
      <c r="K22" s="1"/>
      <c r="L22" s="1"/>
    </row>
    <row r="23" spans="1:14" customFormat="1" ht="26.25" customHeight="1" x14ac:dyDescent="0.5">
      <c r="A23" s="183" t="s">
        <v>16</v>
      </c>
      <c r="B23" s="188">
        <v>42500.458773148152</v>
      </c>
      <c r="C23" s="185"/>
      <c r="D23" s="185"/>
      <c r="E23" s="185"/>
      <c r="F23" s="185"/>
      <c r="G23" s="185"/>
      <c r="H23" s="185"/>
      <c r="I23" s="1"/>
      <c r="J23" s="1"/>
      <c r="K23" s="1"/>
      <c r="L23" s="1"/>
    </row>
    <row r="24" spans="1:14" customFormat="1" ht="18" x14ac:dyDescent="0.35">
      <c r="A24" s="183"/>
      <c r="B24" s="189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4" customFormat="1" ht="18" x14ac:dyDescent="0.35">
      <c r="A25" s="190" t="s">
        <v>0</v>
      </c>
      <c r="B25" s="189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4" ht="26.25" customHeight="1" x14ac:dyDescent="0.45">
      <c r="A26" s="191" t="s">
        <v>1</v>
      </c>
      <c r="B26" s="652" t="s">
        <v>133</v>
      </c>
      <c r="C26" s="654"/>
    </row>
    <row r="27" spans="1:14" ht="26.25" customHeight="1" x14ac:dyDescent="0.5">
      <c r="A27" s="192" t="s">
        <v>25</v>
      </c>
      <c r="B27" s="656" t="s">
        <v>101</v>
      </c>
      <c r="C27" s="662"/>
      <c r="D27" s="662"/>
    </row>
    <row r="28" spans="1:14" ht="27" customHeight="1" thickBot="1" x14ac:dyDescent="0.5">
      <c r="A28" s="192" t="s">
        <v>2</v>
      </c>
      <c r="B28" s="193">
        <v>98.8</v>
      </c>
    </row>
    <row r="29" spans="1:14" s="581" customFormat="1" ht="27" customHeight="1" x14ac:dyDescent="0.5">
      <c r="A29" s="192" t="s">
        <v>26</v>
      </c>
      <c r="B29" s="194">
        <v>0</v>
      </c>
      <c r="C29" s="717" t="s">
        <v>27</v>
      </c>
      <c r="D29" s="718"/>
      <c r="E29" s="718"/>
      <c r="F29" s="718"/>
      <c r="G29" s="719"/>
      <c r="H29" s="489"/>
      <c r="I29" s="195"/>
      <c r="J29" s="195"/>
      <c r="K29" s="195"/>
      <c r="L29" s="195"/>
    </row>
    <row r="30" spans="1:14" s="581" customFormat="1" ht="19.5" customHeight="1" x14ac:dyDescent="0.35">
      <c r="A30" s="192" t="s">
        <v>28</v>
      </c>
      <c r="B30" s="196">
        <f>B28-B29</f>
        <v>98.8</v>
      </c>
      <c r="C30" s="197"/>
      <c r="D30" s="197"/>
      <c r="E30" s="197"/>
      <c r="F30" s="197"/>
      <c r="G30" s="198"/>
      <c r="H30" s="489"/>
      <c r="I30" s="195"/>
      <c r="J30" s="195"/>
      <c r="K30" s="195"/>
      <c r="L30" s="195"/>
    </row>
    <row r="31" spans="1:14" s="581" customFormat="1" ht="27" customHeight="1" x14ac:dyDescent="0.45">
      <c r="A31" s="192" t="s">
        <v>29</v>
      </c>
      <c r="B31" s="199">
        <v>1</v>
      </c>
      <c r="C31" s="720" t="s">
        <v>30</v>
      </c>
      <c r="D31" s="721"/>
      <c r="E31" s="721"/>
      <c r="F31" s="721"/>
      <c r="G31" s="721"/>
      <c r="H31" s="722"/>
      <c r="I31" s="195"/>
      <c r="J31" s="195"/>
      <c r="K31" s="195"/>
      <c r="L31" s="195"/>
    </row>
    <row r="32" spans="1:14" s="581" customFormat="1" ht="27" customHeight="1" x14ac:dyDescent="0.45">
      <c r="A32" s="192" t="s">
        <v>31</v>
      </c>
      <c r="B32" s="199">
        <v>1</v>
      </c>
      <c r="C32" s="720" t="s">
        <v>32</v>
      </c>
      <c r="D32" s="721"/>
      <c r="E32" s="721"/>
      <c r="F32" s="721"/>
      <c r="G32" s="721"/>
      <c r="H32" s="722"/>
      <c r="I32" s="195"/>
      <c r="J32" s="195"/>
      <c r="K32" s="195"/>
      <c r="L32" s="200"/>
      <c r="M32" s="582"/>
      <c r="N32" s="583"/>
    </row>
    <row r="33" spans="1:14" s="581" customFormat="1" ht="17.25" customHeight="1" x14ac:dyDescent="0.35">
      <c r="A33" s="192"/>
      <c r="B33" s="201"/>
      <c r="C33" s="202"/>
      <c r="D33" s="202"/>
      <c r="E33" s="202"/>
      <c r="F33" s="202"/>
      <c r="G33" s="202"/>
      <c r="H33" s="202"/>
      <c r="I33" s="195"/>
      <c r="J33" s="195"/>
      <c r="K33" s="195"/>
      <c r="L33" s="200"/>
      <c r="M33" s="582"/>
      <c r="N33" s="583"/>
    </row>
    <row r="34" spans="1:14" s="581" customFormat="1" ht="18" x14ac:dyDescent="0.35">
      <c r="A34" s="192" t="s">
        <v>33</v>
      </c>
      <c r="B34" s="203">
        <f>B31/B32</f>
        <v>1</v>
      </c>
      <c r="C34" s="182" t="s">
        <v>34</v>
      </c>
      <c r="D34" s="182"/>
      <c r="E34" s="182"/>
      <c r="F34" s="182"/>
      <c r="G34" s="182"/>
      <c r="H34" s="489"/>
      <c r="I34" s="195"/>
      <c r="J34" s="195"/>
      <c r="K34" s="195"/>
      <c r="L34" s="200"/>
      <c r="M34" s="582"/>
      <c r="N34" s="583"/>
    </row>
    <row r="35" spans="1:14" s="581" customFormat="1" ht="19.5" customHeight="1" x14ac:dyDescent="0.35">
      <c r="A35" s="192"/>
      <c r="B35" s="196"/>
      <c r="C35" s="2"/>
      <c r="D35" s="2"/>
      <c r="E35" s="2"/>
      <c r="F35" s="2"/>
      <c r="G35" s="182"/>
      <c r="H35" s="489"/>
      <c r="I35" s="195"/>
      <c r="J35" s="195"/>
      <c r="K35" s="195"/>
      <c r="L35" s="200"/>
      <c r="M35" s="582"/>
      <c r="N35" s="583"/>
    </row>
    <row r="36" spans="1:14" s="581" customFormat="1" ht="27" customHeight="1" x14ac:dyDescent="0.45">
      <c r="A36" s="204" t="s">
        <v>35</v>
      </c>
      <c r="B36" s="205">
        <v>25</v>
      </c>
      <c r="C36" s="182"/>
      <c r="D36" s="723" t="s">
        <v>36</v>
      </c>
      <c r="E36" s="745"/>
      <c r="F36" s="723" t="s">
        <v>37</v>
      </c>
      <c r="G36" s="724"/>
      <c r="H36" s="489"/>
      <c r="I36" s="2"/>
      <c r="J36" s="195"/>
      <c r="K36" s="195"/>
      <c r="L36" s="200"/>
      <c r="M36" s="582"/>
      <c r="N36" s="583"/>
    </row>
    <row r="37" spans="1:14" s="581" customFormat="1" ht="27" customHeight="1" x14ac:dyDescent="0.45">
      <c r="A37" s="206" t="s">
        <v>38</v>
      </c>
      <c r="B37" s="207">
        <v>5</v>
      </c>
      <c r="C37" s="208" t="s">
        <v>39</v>
      </c>
      <c r="D37" s="209" t="s">
        <v>40</v>
      </c>
      <c r="E37" s="210" t="s">
        <v>41</v>
      </c>
      <c r="F37" s="209" t="s">
        <v>40</v>
      </c>
      <c r="G37" s="211" t="s">
        <v>41</v>
      </c>
      <c r="H37" s="489"/>
      <c r="I37" s="212" t="s">
        <v>42</v>
      </c>
      <c r="J37" s="195"/>
      <c r="K37" s="195"/>
      <c r="L37" s="200"/>
      <c r="M37" s="582"/>
      <c r="N37" s="583"/>
    </row>
    <row r="38" spans="1:14" s="581" customFormat="1" ht="26.25" customHeight="1" x14ac:dyDescent="0.45">
      <c r="A38" s="206" t="s">
        <v>43</v>
      </c>
      <c r="B38" s="207">
        <v>50</v>
      </c>
      <c r="C38" s="213">
        <v>1</v>
      </c>
      <c r="D38" s="214">
        <v>12930095</v>
      </c>
      <c r="E38" s="215">
        <f>IF(ISBLANK(D38),"-",$D$48/$D$45*D38)</f>
        <v>12535575.371895701</v>
      </c>
      <c r="F38" s="214">
        <v>13414902</v>
      </c>
      <c r="G38" s="216">
        <f>IF(ISBLANK(F38),"-",$D$48/$F$45*F38)</f>
        <v>12358467.262489684</v>
      </c>
      <c r="H38" s="489"/>
      <c r="I38" s="217"/>
      <c r="J38" s="195"/>
      <c r="K38" s="195"/>
      <c r="L38" s="200"/>
      <c r="M38" s="582"/>
      <c r="N38" s="583"/>
    </row>
    <row r="39" spans="1:14" s="581" customFormat="1" ht="26.25" customHeight="1" x14ac:dyDescent="0.45">
      <c r="A39" s="206" t="s">
        <v>44</v>
      </c>
      <c r="B39" s="207">
        <v>1</v>
      </c>
      <c r="C39" s="218">
        <v>2</v>
      </c>
      <c r="D39" s="219">
        <v>12905692</v>
      </c>
      <c r="E39" s="220">
        <f>IF(ISBLANK(D39),"-",$D$48/$D$45*D39)</f>
        <v>12511916.949757243</v>
      </c>
      <c r="F39" s="219">
        <v>13416161</v>
      </c>
      <c r="G39" s="221">
        <f>IF(ISBLANK(F39),"-",$D$48/$F$45*F39)</f>
        <v>12359627.115188085</v>
      </c>
      <c r="H39" s="489"/>
      <c r="I39" s="739">
        <f>ABS((F43/D43*D42)-F42)/D42</f>
        <v>1.4385832175622231E-2</v>
      </c>
      <c r="J39" s="195"/>
      <c r="K39" s="195"/>
      <c r="L39" s="200"/>
      <c r="M39" s="582"/>
      <c r="N39" s="583"/>
    </row>
    <row r="40" spans="1:14" ht="26.25" customHeight="1" x14ac:dyDescent="0.45">
      <c r="A40" s="206" t="s">
        <v>45</v>
      </c>
      <c r="B40" s="207">
        <v>1</v>
      </c>
      <c r="C40" s="218">
        <v>3</v>
      </c>
      <c r="D40" s="219">
        <v>12898653</v>
      </c>
      <c r="E40" s="220">
        <f>IF(ISBLANK(D40),"-",$D$48/$D$45*D40)</f>
        <v>12505092.721857697</v>
      </c>
      <c r="F40" s="219">
        <v>13374390</v>
      </c>
      <c r="G40" s="221">
        <f>IF(ISBLANK(F40),"-",$D$48/$F$45*F40)</f>
        <v>12321145.616327977</v>
      </c>
      <c r="I40" s="739"/>
      <c r="L40" s="200"/>
      <c r="M40" s="582"/>
      <c r="N40" s="661"/>
    </row>
    <row r="41" spans="1:14" ht="27" customHeight="1" x14ac:dyDescent="0.45">
      <c r="A41" s="206" t="s">
        <v>46</v>
      </c>
      <c r="B41" s="207">
        <v>1</v>
      </c>
      <c r="C41" s="223">
        <v>4</v>
      </c>
      <c r="D41" s="224"/>
      <c r="E41" s="225" t="str">
        <f>IF(ISBLANK(D41),"-",$D$48/$D$45*D41)</f>
        <v>-</v>
      </c>
      <c r="F41" s="224"/>
      <c r="G41" s="226" t="str">
        <f>IF(ISBLANK(F41),"-",$D$48/$F$45*F41)</f>
        <v>-</v>
      </c>
      <c r="I41" s="227"/>
      <c r="L41" s="200"/>
      <c r="M41" s="582"/>
      <c r="N41" s="661"/>
    </row>
    <row r="42" spans="1:14" ht="27" customHeight="1" x14ac:dyDescent="0.45">
      <c r="A42" s="206" t="s">
        <v>47</v>
      </c>
      <c r="B42" s="207">
        <v>1</v>
      </c>
      <c r="C42" s="228" t="s">
        <v>48</v>
      </c>
      <c r="D42" s="229">
        <f>AVERAGE(D38:D41)</f>
        <v>12911480</v>
      </c>
      <c r="E42" s="230">
        <f>AVERAGE(E38:E41)</f>
        <v>12517528.34783688</v>
      </c>
      <c r="F42" s="229">
        <f>AVERAGE(F38:F41)</f>
        <v>13401817.666666666</v>
      </c>
      <c r="G42" s="231">
        <f>AVERAGE(G38:G41)</f>
        <v>12346413.331335248</v>
      </c>
      <c r="H42" s="232"/>
    </row>
    <row r="43" spans="1:14" ht="26.25" customHeight="1" x14ac:dyDescent="0.45">
      <c r="A43" s="206" t="s">
        <v>49</v>
      </c>
      <c r="B43" s="207">
        <v>1</v>
      </c>
      <c r="C43" s="233" t="s">
        <v>50</v>
      </c>
      <c r="D43" s="234">
        <v>15.66</v>
      </c>
      <c r="E43" s="222"/>
      <c r="F43" s="234">
        <v>16.48</v>
      </c>
      <c r="H43" s="232"/>
    </row>
    <row r="44" spans="1:14" ht="26.25" customHeight="1" x14ac:dyDescent="0.45">
      <c r="A44" s="206" t="s">
        <v>51</v>
      </c>
      <c r="B44" s="207">
        <v>1</v>
      </c>
      <c r="C44" s="235" t="s">
        <v>52</v>
      </c>
      <c r="D44" s="236">
        <f>D43*$B$34</f>
        <v>15.66</v>
      </c>
      <c r="E44" s="237"/>
      <c r="F44" s="236">
        <f>F43*$B$34</f>
        <v>16.48</v>
      </c>
      <c r="H44" s="232"/>
    </row>
    <row r="45" spans="1:14" ht="19.5" customHeight="1" x14ac:dyDescent="0.35">
      <c r="A45" s="206" t="s">
        <v>53</v>
      </c>
      <c r="B45" s="238">
        <f>(B44/B43)*(B42/B41)*(B40/B39)*(B38/B37)*B36</f>
        <v>250</v>
      </c>
      <c r="C45" s="235" t="s">
        <v>54</v>
      </c>
      <c r="D45" s="239">
        <f>D44*$B$30/100</f>
        <v>15.472079999999998</v>
      </c>
      <c r="E45" s="240"/>
      <c r="F45" s="239">
        <f>F44*$B$30/100</f>
        <v>16.282239999999998</v>
      </c>
      <c r="H45" s="232"/>
    </row>
    <row r="46" spans="1:14" ht="19.5" customHeight="1" x14ac:dyDescent="0.35">
      <c r="A46" s="725" t="s">
        <v>55</v>
      </c>
      <c r="B46" s="737"/>
      <c r="C46" s="235" t="s">
        <v>56</v>
      </c>
      <c r="D46" s="241">
        <f>D45/$B$45</f>
        <v>6.188831999999999E-2</v>
      </c>
      <c r="E46" s="242"/>
      <c r="F46" s="243">
        <f>F45/$B$45</f>
        <v>6.5128959999999986E-2</v>
      </c>
      <c r="H46" s="232"/>
    </row>
    <row r="47" spans="1:14" ht="27" customHeight="1" x14ac:dyDescent="0.45">
      <c r="A47" s="727"/>
      <c r="B47" s="738"/>
      <c r="C47" s="244" t="s">
        <v>57</v>
      </c>
      <c r="D47" s="245">
        <v>0.06</v>
      </c>
      <c r="E47" s="246"/>
      <c r="F47" s="242"/>
      <c r="H47" s="232"/>
    </row>
    <row r="48" spans="1:14" ht="18" x14ac:dyDescent="0.35">
      <c r="C48" s="247" t="s">
        <v>58</v>
      </c>
      <c r="D48" s="239">
        <f>D47*$B$45</f>
        <v>15</v>
      </c>
      <c r="F48" s="248"/>
      <c r="H48" s="232"/>
    </row>
    <row r="49" spans="1:10" ht="19.5" customHeight="1" x14ac:dyDescent="0.35">
      <c r="C49" s="249" t="s">
        <v>59</v>
      </c>
      <c r="D49" s="250">
        <f>D48/B34</f>
        <v>15</v>
      </c>
      <c r="F49" s="248"/>
      <c r="H49" s="232"/>
    </row>
    <row r="50" spans="1:10" ht="18" x14ac:dyDescent="0.35">
      <c r="C50" s="204" t="s">
        <v>60</v>
      </c>
      <c r="D50" s="251">
        <f>AVERAGE(E38:E41,G38:G41)</f>
        <v>12431970.839586064</v>
      </c>
      <c r="F50" s="252"/>
      <c r="H50" s="232"/>
    </row>
    <row r="51" spans="1:10" ht="18" x14ac:dyDescent="0.35">
      <c r="C51" s="206" t="s">
        <v>61</v>
      </c>
      <c r="D51" s="253">
        <f>STDEV(E38:E41,G38:G41)/D50</f>
        <v>7.6640530417711929E-3</v>
      </c>
      <c r="F51" s="252"/>
      <c r="H51" s="232"/>
    </row>
    <row r="52" spans="1:10" ht="19.5" customHeight="1" x14ac:dyDescent="0.35">
      <c r="C52" s="254" t="s">
        <v>3</v>
      </c>
      <c r="D52" s="255">
        <f>COUNT(E38:E41,G38:G41)</f>
        <v>6</v>
      </c>
      <c r="F52" s="252"/>
    </row>
    <row r="54" spans="1:10" ht="18" x14ac:dyDescent="0.35">
      <c r="A54" s="256" t="s">
        <v>0</v>
      </c>
      <c r="B54" s="257" t="s">
        <v>62</v>
      </c>
      <c r="H54" s="663"/>
    </row>
    <row r="55" spans="1:10" ht="18" x14ac:dyDescent="0.35">
      <c r="A55" s="182" t="s">
        <v>63</v>
      </c>
      <c r="B55" s="258" t="str">
        <f>B21</f>
        <v>Each film-coated tablet contains Efavirenz 600 mg, Lamivudine USP 300 mg, Tenofovir Disoproxil Fumarate 300mg equivalent to tenofovir disoproxil 245 mg</v>
      </c>
      <c r="G55" s="585"/>
      <c r="H55" s="664">
        <f>F70/D50*D47*B68*B69/D68/300</f>
        <v>0.96984306641530438</v>
      </c>
      <c r="J55" s="584"/>
    </row>
    <row r="56" spans="1:10" ht="26.25" customHeight="1" x14ac:dyDescent="0.45">
      <c r="A56" s="259" t="s">
        <v>64</v>
      </c>
      <c r="B56" s="260">
        <v>300</v>
      </c>
      <c r="C56" s="182" t="str">
        <f>B20</f>
        <v>Efavirenz 600 mg, Lamivudine 300 mg and Tenofovir Disoproxil Fumarate 300 mg Tablets</v>
      </c>
      <c r="H56" s="261"/>
    </row>
    <row r="57" spans="1:10" ht="18" x14ac:dyDescent="0.35">
      <c r="A57" s="258" t="s">
        <v>140</v>
      </c>
      <c r="B57" s="349">
        <f>'Uniformity '!C44</f>
        <v>1765.5585000000003</v>
      </c>
      <c r="H57" s="261"/>
    </row>
    <row r="58" spans="1:10" ht="19.5" customHeight="1" x14ac:dyDescent="0.35">
      <c r="H58" s="261"/>
    </row>
    <row r="59" spans="1:10" s="581" customFormat="1" ht="27" customHeight="1" thickBot="1" x14ac:dyDescent="0.5">
      <c r="A59" s="204" t="s">
        <v>65</v>
      </c>
      <c r="B59" s="205">
        <v>200</v>
      </c>
      <c r="C59" s="182"/>
      <c r="D59" s="262" t="s">
        <v>66</v>
      </c>
      <c r="E59" s="263" t="s">
        <v>39</v>
      </c>
      <c r="F59" s="263" t="s">
        <v>40</v>
      </c>
      <c r="G59" s="263" t="s">
        <v>67</v>
      </c>
      <c r="H59" s="208" t="s">
        <v>68</v>
      </c>
      <c r="I59" s="2"/>
      <c r="J59" s="489"/>
    </row>
    <row r="60" spans="1:10" s="581" customFormat="1" ht="26.25" customHeight="1" x14ac:dyDescent="0.45">
      <c r="A60" s="206" t="s">
        <v>69</v>
      </c>
      <c r="B60" s="207">
        <v>5</v>
      </c>
      <c r="C60" s="729" t="s">
        <v>70</v>
      </c>
      <c r="D60" s="732">
        <v>1766.04</v>
      </c>
      <c r="E60" s="264">
        <v>1</v>
      </c>
      <c r="F60" s="265">
        <v>11984460</v>
      </c>
      <c r="G60" s="350">
        <f>IF(ISBLANK(F60),"-",(F60/$D$50*$D$47*$B$68)*($B$57/$D$60))</f>
        <v>289.12211904874772</v>
      </c>
      <c r="H60" s="266">
        <f t="shared" ref="H60:H71" si="0">IF(ISBLANK(F60),"-",G60/$B$56)</f>
        <v>0.96374039682915902</v>
      </c>
      <c r="I60" s="2"/>
      <c r="J60" s="489"/>
    </row>
    <row r="61" spans="1:10" s="581" customFormat="1" ht="26.25" customHeight="1" x14ac:dyDescent="0.45">
      <c r="A61" s="206" t="s">
        <v>71</v>
      </c>
      <c r="B61" s="207">
        <v>50</v>
      </c>
      <c r="C61" s="730"/>
      <c r="D61" s="733"/>
      <c r="E61" s="267">
        <v>2</v>
      </c>
      <c r="F61" s="219">
        <v>12042955</v>
      </c>
      <c r="G61" s="351">
        <f>IF(ISBLANK(F61),"-",(F61/$D$50*$D$47*$B$68)*($B$57/$D$60))</f>
        <v>290.53329638621278</v>
      </c>
      <c r="H61" s="268">
        <f t="shared" si="0"/>
        <v>0.9684443212873759</v>
      </c>
      <c r="I61" s="2"/>
      <c r="J61" s="489"/>
    </row>
    <row r="62" spans="1:10" s="581" customFormat="1" ht="26.25" customHeight="1" x14ac:dyDescent="0.45">
      <c r="A62" s="206" t="s">
        <v>72</v>
      </c>
      <c r="B62" s="207">
        <v>10</v>
      </c>
      <c r="C62" s="730"/>
      <c r="D62" s="733"/>
      <c r="E62" s="267">
        <v>3</v>
      </c>
      <c r="F62" s="269">
        <v>11984472</v>
      </c>
      <c r="G62" s="351">
        <f>IF(ISBLANK(F62),"-",(F62/$D$50*$D$47*$B$68)*($B$57/$D$60))</f>
        <v>289.12240854576538</v>
      </c>
      <c r="H62" s="268">
        <f t="shared" si="0"/>
        <v>0.96374136181921799</v>
      </c>
      <c r="I62" s="2"/>
      <c r="J62" s="489"/>
    </row>
    <row r="63" spans="1:10" ht="27" customHeight="1" thickBot="1" x14ac:dyDescent="0.5">
      <c r="A63" s="206" t="s">
        <v>73</v>
      </c>
      <c r="B63" s="207">
        <v>25</v>
      </c>
      <c r="C63" s="731"/>
      <c r="D63" s="734"/>
      <c r="E63" s="270">
        <v>4</v>
      </c>
      <c r="F63" s="271"/>
      <c r="G63" s="351" t="str">
        <f>IF(ISBLANK(F63),"-",(F63/$D$50*$D$47*$B$68)*($B$57/$D$60))</f>
        <v>-</v>
      </c>
      <c r="H63" s="268" t="str">
        <f t="shared" si="0"/>
        <v>-</v>
      </c>
    </row>
    <row r="64" spans="1:10" ht="26.25" customHeight="1" x14ac:dyDescent="0.45">
      <c r="A64" s="206" t="s">
        <v>74</v>
      </c>
      <c r="B64" s="207">
        <v>1</v>
      </c>
      <c r="C64" s="729" t="s">
        <v>75</v>
      </c>
      <c r="D64" s="732">
        <v>1763.08</v>
      </c>
      <c r="E64" s="264">
        <v>1</v>
      </c>
      <c r="F64" s="265"/>
      <c r="G64" s="352" t="str">
        <f>IF(ISBLANK(F64),"-",(F64/$D$50*$D$47*$B$68)*($B$57/$D$64))</f>
        <v>-</v>
      </c>
      <c r="H64" s="272" t="str">
        <f t="shared" si="0"/>
        <v>-</v>
      </c>
    </row>
    <row r="65" spans="1:8" ht="26.25" customHeight="1" x14ac:dyDescent="0.45">
      <c r="A65" s="206" t="s">
        <v>76</v>
      </c>
      <c r="B65" s="207">
        <v>1</v>
      </c>
      <c r="C65" s="730"/>
      <c r="D65" s="733"/>
      <c r="E65" s="267">
        <v>2</v>
      </c>
      <c r="F65" s="219"/>
      <c r="G65" s="353" t="str">
        <f>IF(ISBLANK(F65),"-",(F65/$D$50*$D$47*$B$68)*($B$57/$D$64))</f>
        <v>-</v>
      </c>
      <c r="H65" s="273" t="str">
        <f t="shared" si="0"/>
        <v>-</v>
      </c>
    </row>
    <row r="66" spans="1:8" ht="26.25" customHeight="1" x14ac:dyDescent="0.45">
      <c r="A66" s="206" t="s">
        <v>77</v>
      </c>
      <c r="B66" s="207">
        <v>1</v>
      </c>
      <c r="C66" s="730"/>
      <c r="D66" s="733"/>
      <c r="E66" s="267">
        <v>3</v>
      </c>
      <c r="F66" s="219"/>
      <c r="G66" s="353" t="str">
        <f>IF(ISBLANK(F66),"-",(F66/$D$50*$D$47*$B$68)*($B$57/$D$64))</f>
        <v>-</v>
      </c>
      <c r="H66" s="273" t="str">
        <f t="shared" si="0"/>
        <v>-</v>
      </c>
    </row>
    <row r="67" spans="1:8" ht="27" customHeight="1" thickBot="1" x14ac:dyDescent="0.5">
      <c r="A67" s="206" t="s">
        <v>78</v>
      </c>
      <c r="B67" s="207">
        <v>1</v>
      </c>
      <c r="C67" s="731"/>
      <c r="D67" s="734"/>
      <c r="E67" s="270">
        <v>4</v>
      </c>
      <c r="F67" s="271"/>
      <c r="G67" s="354" t="str">
        <f>IF(ISBLANK(F67),"-",(F67/$D$50*$D$47*$B$68)*($B$57/$D$64))</f>
        <v>-</v>
      </c>
      <c r="H67" s="274" t="str">
        <f t="shared" si="0"/>
        <v>-</v>
      </c>
    </row>
    <row r="68" spans="1:8" ht="26.25" customHeight="1" x14ac:dyDescent="0.5">
      <c r="A68" s="206" t="s">
        <v>79</v>
      </c>
      <c r="B68" s="275">
        <f>(B67/B66)*(B65/B64)*(B63/B62)*(B61/B60)*B59</f>
        <v>5000</v>
      </c>
      <c r="C68" s="729" t="s">
        <v>80</v>
      </c>
      <c r="D68" s="732">
        <v>1766.87</v>
      </c>
      <c r="E68" s="264">
        <v>1</v>
      </c>
      <c r="F68" s="265">
        <v>12118816</v>
      </c>
      <c r="G68" s="352">
        <f>IF(ISBLANK(F68),"-",(F68/$D$50*$D$47*$B$68)*($B$57/$D$68))</f>
        <v>292.22608431836755</v>
      </c>
      <c r="H68" s="268">
        <f t="shared" si="0"/>
        <v>0.97408694772789184</v>
      </c>
    </row>
    <row r="69" spans="1:8" ht="27" customHeight="1" thickBot="1" x14ac:dyDescent="0.55000000000000004">
      <c r="A69" s="254" t="s">
        <v>81</v>
      </c>
      <c r="B69" s="276">
        <f>(D47*B68)/B56*B57</f>
        <v>1765.5585000000003</v>
      </c>
      <c r="C69" s="730"/>
      <c r="D69" s="733"/>
      <c r="E69" s="267">
        <v>2</v>
      </c>
      <c r="F69" s="219">
        <v>12086488</v>
      </c>
      <c r="G69" s="353">
        <f>IF(ISBLANK(F69),"-",(F69/$D$50*$D$47*$B$68)*($B$57/$D$68))</f>
        <v>291.44654571873502</v>
      </c>
      <c r="H69" s="268">
        <f t="shared" si="0"/>
        <v>0.97148848572911672</v>
      </c>
    </row>
    <row r="70" spans="1:8" ht="26.25" customHeight="1" x14ac:dyDescent="0.45">
      <c r="A70" s="741" t="s">
        <v>55</v>
      </c>
      <c r="B70" s="742"/>
      <c r="C70" s="730"/>
      <c r="D70" s="733"/>
      <c r="E70" s="267">
        <v>3</v>
      </c>
      <c r="F70" s="219">
        <v>12066017</v>
      </c>
      <c r="G70" s="353">
        <f>IF(ISBLANK(F70),"-",(F70/$D$50*$D$47*$B$68)*($B$57/$D$68))</f>
        <v>290.95291992459136</v>
      </c>
      <c r="H70" s="268">
        <f t="shared" si="0"/>
        <v>0.96984306641530449</v>
      </c>
    </row>
    <row r="71" spans="1:8" ht="27" customHeight="1" thickBot="1" x14ac:dyDescent="0.5">
      <c r="A71" s="743"/>
      <c r="B71" s="744"/>
      <c r="C71" s="740"/>
      <c r="D71" s="734"/>
      <c r="E71" s="270">
        <v>4</v>
      </c>
      <c r="F71" s="271"/>
      <c r="G71" s="354" t="str">
        <f>IF(ISBLANK(F71),"-",(F71/$D$50*$D$47*$B$68)*($B$57/$D$68))</f>
        <v>-</v>
      </c>
      <c r="H71" s="277" t="str">
        <f t="shared" si="0"/>
        <v>-</v>
      </c>
    </row>
    <row r="72" spans="1:8" ht="26.25" customHeight="1" x14ac:dyDescent="0.45">
      <c r="A72" s="278"/>
      <c r="B72" s="278"/>
      <c r="C72" s="278"/>
      <c r="D72" s="278"/>
      <c r="E72" s="278"/>
      <c r="F72" s="280" t="s">
        <v>48</v>
      </c>
      <c r="G72" s="359">
        <f>AVERAGE(G60:G71)</f>
        <v>290.56722899040329</v>
      </c>
      <c r="H72" s="281">
        <f>AVERAGE(H60:H71)</f>
        <v>0.96855742996801097</v>
      </c>
    </row>
    <row r="73" spans="1:8" ht="26.25" customHeight="1" x14ac:dyDescent="0.45">
      <c r="C73" s="278"/>
      <c r="D73" s="278"/>
      <c r="E73" s="278"/>
      <c r="F73" s="282" t="s">
        <v>61</v>
      </c>
      <c r="G73" s="355">
        <f>STDEV(G60:G71)/G72</f>
        <v>4.312450518599702E-3</v>
      </c>
      <c r="H73" s="461">
        <f>STDEV(H60:H71)/H72</f>
        <v>4.3124505185996934E-3</v>
      </c>
    </row>
    <row r="74" spans="1:8" ht="27" customHeight="1" x14ac:dyDescent="0.45">
      <c r="A74" s="278"/>
      <c r="B74" s="278"/>
      <c r="C74" s="279"/>
      <c r="D74" s="279"/>
      <c r="E74" s="283"/>
      <c r="F74" s="284" t="s">
        <v>3</v>
      </c>
      <c r="G74" s="285">
        <f>COUNT(G60:G71)</f>
        <v>6</v>
      </c>
      <c r="H74" s="285">
        <f>COUNT(H60:H71)</f>
        <v>6</v>
      </c>
    </row>
    <row r="76" spans="1:8" ht="26.25" customHeight="1" x14ac:dyDescent="0.45">
      <c r="A76" s="191" t="s">
        <v>82</v>
      </c>
      <c r="B76" s="286" t="s">
        <v>83</v>
      </c>
      <c r="C76" s="715" t="str">
        <f>B26</f>
        <v>TENOFOVIR DISOPROXIL FUMARATE</v>
      </c>
      <c r="D76" s="715"/>
      <c r="E76" s="287" t="s">
        <v>84</v>
      </c>
      <c r="F76" s="287"/>
      <c r="G76" s="288">
        <f>H72</f>
        <v>0.96855742996801097</v>
      </c>
      <c r="H76" s="289"/>
    </row>
    <row r="77" spans="1:8" ht="18" x14ac:dyDescent="0.35">
      <c r="A77" s="190" t="s">
        <v>85</v>
      </c>
      <c r="B77" s="190" t="s">
        <v>86</v>
      </c>
    </row>
    <row r="78" spans="1:8" ht="18" x14ac:dyDescent="0.35">
      <c r="A78" s="190"/>
      <c r="B78" s="190"/>
    </row>
    <row r="79" spans="1:8" ht="26.25" customHeight="1" x14ac:dyDescent="0.45">
      <c r="A79" s="191" t="s">
        <v>1</v>
      </c>
      <c r="B79" s="750" t="str">
        <f>B26</f>
        <v>TENOFOVIR DISOPROXIL FUMARATE</v>
      </c>
      <c r="C79" s="750"/>
    </row>
    <row r="80" spans="1:8" ht="26.25" customHeight="1" x14ac:dyDescent="0.45">
      <c r="A80" s="192" t="s">
        <v>25</v>
      </c>
      <c r="B80" s="750" t="str">
        <f>B27</f>
        <v>T11-6</v>
      </c>
      <c r="C80" s="750"/>
    </row>
    <row r="81" spans="1:12" ht="27" customHeight="1" x14ac:dyDescent="0.45">
      <c r="A81" s="192" t="s">
        <v>2</v>
      </c>
      <c r="B81" s="290">
        <f>B28</f>
        <v>98.8</v>
      </c>
      <c r="H81" s="489"/>
    </row>
    <row r="82" spans="1:12" s="581" customFormat="1" ht="27" customHeight="1" x14ac:dyDescent="0.5">
      <c r="A82" s="192" t="s">
        <v>26</v>
      </c>
      <c r="B82" s="194">
        <v>0</v>
      </c>
      <c r="C82" s="717" t="s">
        <v>27</v>
      </c>
      <c r="D82" s="718"/>
      <c r="E82" s="718"/>
      <c r="F82" s="718"/>
      <c r="G82" s="719"/>
      <c r="H82" s="489"/>
      <c r="I82" s="195"/>
      <c r="J82" s="195"/>
      <c r="K82" s="195"/>
      <c r="L82" s="195"/>
    </row>
    <row r="83" spans="1:12" s="581" customFormat="1" ht="19.5" customHeight="1" x14ac:dyDescent="0.35">
      <c r="A83" s="192" t="s">
        <v>28</v>
      </c>
      <c r="B83" s="196">
        <f>B81-B82</f>
        <v>98.8</v>
      </c>
      <c r="C83" s="197"/>
      <c r="D83" s="197"/>
      <c r="E83" s="197"/>
      <c r="F83" s="197"/>
      <c r="G83" s="198"/>
      <c r="H83" s="489"/>
      <c r="I83" s="195"/>
      <c r="J83" s="195"/>
      <c r="K83" s="195"/>
      <c r="L83" s="195"/>
    </row>
    <row r="84" spans="1:12" s="581" customFormat="1" ht="27" customHeight="1" x14ac:dyDescent="0.45">
      <c r="A84" s="192" t="s">
        <v>29</v>
      </c>
      <c r="B84" s="199">
        <v>1</v>
      </c>
      <c r="C84" s="720" t="s">
        <v>87</v>
      </c>
      <c r="D84" s="721"/>
      <c r="E84" s="721"/>
      <c r="F84" s="721"/>
      <c r="G84" s="721"/>
      <c r="H84" s="722"/>
      <c r="I84" s="195"/>
      <c r="J84" s="195"/>
      <c r="K84" s="195"/>
      <c r="L84" s="195"/>
    </row>
    <row r="85" spans="1:12" s="581" customFormat="1" ht="27" customHeight="1" x14ac:dyDescent="0.45">
      <c r="A85" s="192" t="s">
        <v>31</v>
      </c>
      <c r="B85" s="199">
        <v>1</v>
      </c>
      <c r="C85" s="720" t="s">
        <v>88</v>
      </c>
      <c r="D85" s="721"/>
      <c r="E85" s="721"/>
      <c r="F85" s="721"/>
      <c r="G85" s="721"/>
      <c r="H85" s="722"/>
      <c r="I85" s="195"/>
      <c r="J85" s="195"/>
      <c r="K85" s="195"/>
      <c r="L85" s="195"/>
    </row>
    <row r="86" spans="1:12" s="581" customFormat="1" ht="18" x14ac:dyDescent="0.35">
      <c r="A86" s="192"/>
      <c r="B86" s="201"/>
      <c r="C86" s="202"/>
      <c r="D86" s="202"/>
      <c r="E86" s="202"/>
      <c r="F86" s="202"/>
      <c r="G86" s="202"/>
      <c r="H86" s="202"/>
      <c r="I86" s="195"/>
      <c r="J86" s="195"/>
      <c r="K86" s="195"/>
      <c r="L86" s="195"/>
    </row>
    <row r="87" spans="1:12" s="581" customFormat="1" ht="18" x14ac:dyDescent="0.35">
      <c r="A87" s="192" t="s">
        <v>33</v>
      </c>
      <c r="B87" s="203">
        <f>B84/B85</f>
        <v>1</v>
      </c>
      <c r="C87" s="182" t="s">
        <v>34</v>
      </c>
      <c r="D87" s="182"/>
      <c r="E87" s="182"/>
      <c r="F87" s="182"/>
      <c r="G87" s="182"/>
      <c r="H87" s="376"/>
      <c r="I87" s="376"/>
      <c r="J87" s="195"/>
      <c r="K87" s="195"/>
      <c r="L87" s="195"/>
    </row>
    <row r="88" spans="1:12" ht="19.5" customHeight="1" x14ac:dyDescent="0.35">
      <c r="A88" s="190"/>
      <c r="B88" s="190"/>
    </row>
    <row r="89" spans="1:12" ht="27" customHeight="1" x14ac:dyDescent="0.45">
      <c r="A89" s="204" t="s">
        <v>35</v>
      </c>
      <c r="B89" s="205">
        <v>25</v>
      </c>
      <c r="D89" s="291" t="s">
        <v>36</v>
      </c>
      <c r="E89" s="292"/>
      <c r="F89" s="723" t="s">
        <v>37</v>
      </c>
      <c r="G89" s="724"/>
    </row>
    <row r="90" spans="1:12" ht="27" customHeight="1" x14ac:dyDescent="0.45">
      <c r="A90" s="206" t="s">
        <v>38</v>
      </c>
      <c r="B90" s="207">
        <v>10</v>
      </c>
      <c r="C90" s="293" t="s">
        <v>39</v>
      </c>
      <c r="D90" s="209" t="s">
        <v>40</v>
      </c>
      <c r="E90" s="210" t="s">
        <v>41</v>
      </c>
      <c r="F90" s="209" t="s">
        <v>40</v>
      </c>
      <c r="G90" s="294" t="s">
        <v>41</v>
      </c>
      <c r="I90" s="212" t="s">
        <v>42</v>
      </c>
    </row>
    <row r="91" spans="1:12" ht="26.25" customHeight="1" x14ac:dyDescent="0.45">
      <c r="A91" s="206" t="s">
        <v>43</v>
      </c>
      <c r="B91" s="207">
        <v>20</v>
      </c>
      <c r="C91" s="295">
        <v>1</v>
      </c>
      <c r="D91" s="214">
        <v>65776679</v>
      </c>
      <c r="E91" s="215">
        <f>IF(ISBLANK(D91),"-",$D$101/$D$98*D91)</f>
        <v>60596710.587732412</v>
      </c>
      <c r="F91" s="214">
        <v>63491314</v>
      </c>
      <c r="G91" s="216">
        <f>IF(ISBLANK(F91),"-",$D$101/$F$98*F91)</f>
        <v>61554083.87236882</v>
      </c>
      <c r="I91" s="217"/>
    </row>
    <row r="92" spans="1:12" ht="26.25" customHeight="1" x14ac:dyDescent="0.45">
      <c r="A92" s="206" t="s">
        <v>44</v>
      </c>
      <c r="B92" s="207">
        <v>1</v>
      </c>
      <c r="C92" s="279">
        <v>2</v>
      </c>
      <c r="D92" s="219">
        <v>65882628</v>
      </c>
      <c r="E92" s="220">
        <f>IF(ISBLANK(D92),"-",$D$101/$D$98*D92)</f>
        <v>60694316.015486822</v>
      </c>
      <c r="F92" s="219">
        <v>62322385</v>
      </c>
      <c r="G92" s="221">
        <f>IF(ISBLANK(F92),"-",$D$101/$F$98*F92)</f>
        <v>60420820.923883542</v>
      </c>
      <c r="I92" s="739">
        <f>ABS((F96/D96*D95)-F95)/D95</f>
        <v>7.0255305249610203E-3</v>
      </c>
    </row>
    <row r="93" spans="1:12" ht="26.25" customHeight="1" x14ac:dyDescent="0.45">
      <c r="A93" s="206" t="s">
        <v>45</v>
      </c>
      <c r="B93" s="207">
        <v>1</v>
      </c>
      <c r="C93" s="279">
        <v>3</v>
      </c>
      <c r="D93" s="219">
        <v>65759914</v>
      </c>
      <c r="E93" s="220">
        <f>IF(ISBLANK(D93),"-",$D$101/$D$98*D93)</f>
        <v>60581265.845485643</v>
      </c>
      <c r="F93" s="219">
        <v>63169453</v>
      </c>
      <c r="G93" s="221">
        <f>IF(ISBLANK(F93),"-",$D$101/$F$98*F93)</f>
        <v>61242043.409806572</v>
      </c>
      <c r="I93" s="739"/>
    </row>
    <row r="94" spans="1:12" ht="27" customHeight="1" x14ac:dyDescent="0.45">
      <c r="A94" s="206" t="s">
        <v>46</v>
      </c>
      <c r="B94" s="207">
        <v>1</v>
      </c>
      <c r="C94" s="296">
        <v>4</v>
      </c>
      <c r="D94" s="224"/>
      <c r="E94" s="225" t="str">
        <f>IF(ISBLANK(D94),"-",$D$101/$D$98*D94)</f>
        <v>-</v>
      </c>
      <c r="F94" s="297"/>
      <c r="G94" s="226" t="str">
        <f>IF(ISBLANK(F94),"-",$D$101/$F$98*F94)</f>
        <v>-</v>
      </c>
      <c r="I94" s="227"/>
    </row>
    <row r="95" spans="1:12" ht="27" customHeight="1" x14ac:dyDescent="0.45">
      <c r="A95" s="206" t="s">
        <v>47</v>
      </c>
      <c r="B95" s="207">
        <v>1</v>
      </c>
      <c r="C95" s="298" t="s">
        <v>48</v>
      </c>
      <c r="D95" s="299">
        <f>AVERAGE(D91:D94)</f>
        <v>65806407</v>
      </c>
      <c r="E95" s="230">
        <f>AVERAGE(E91:E94)</f>
        <v>60624097.482901633</v>
      </c>
      <c r="F95" s="300">
        <f>AVERAGE(F91:F94)</f>
        <v>62994384</v>
      </c>
      <c r="G95" s="301">
        <f>AVERAGE(G91:G94)</f>
        <v>61072316.068686314</v>
      </c>
    </row>
    <row r="96" spans="1:12" ht="26.25" customHeight="1" x14ac:dyDescent="0.45">
      <c r="A96" s="206" t="s">
        <v>49</v>
      </c>
      <c r="B96" s="193">
        <v>1</v>
      </c>
      <c r="C96" s="302" t="s">
        <v>89</v>
      </c>
      <c r="D96" s="303">
        <v>16.48</v>
      </c>
      <c r="E96" s="222"/>
      <c r="F96" s="234">
        <f>15.66</f>
        <v>15.66</v>
      </c>
    </row>
    <row r="97" spans="1:10" ht="26.25" customHeight="1" x14ac:dyDescent="0.45">
      <c r="A97" s="206" t="s">
        <v>51</v>
      </c>
      <c r="B97" s="193">
        <v>1</v>
      </c>
      <c r="C97" s="304" t="s">
        <v>90</v>
      </c>
      <c r="D97" s="305">
        <f>D96*$B$87</f>
        <v>16.48</v>
      </c>
      <c r="E97" s="237"/>
      <c r="F97" s="236">
        <f>F96*$B$87</f>
        <v>15.66</v>
      </c>
    </row>
    <row r="98" spans="1:10" ht="19.5" customHeight="1" x14ac:dyDescent="0.35">
      <c r="A98" s="206" t="s">
        <v>53</v>
      </c>
      <c r="B98" s="306">
        <f>(B97/B96)*(B95/B94)*(B93/B92)*(B91/B90)*B89</f>
        <v>50</v>
      </c>
      <c r="C98" s="304" t="s">
        <v>91</v>
      </c>
      <c r="D98" s="307">
        <f>D97*$B$83/100</f>
        <v>16.282239999999998</v>
      </c>
      <c r="E98" s="240"/>
      <c r="F98" s="239">
        <f>F97*$B$83/100</f>
        <v>15.472079999999998</v>
      </c>
    </row>
    <row r="99" spans="1:10" ht="19.5" customHeight="1" x14ac:dyDescent="0.35">
      <c r="A99" s="725" t="s">
        <v>55</v>
      </c>
      <c r="B99" s="726"/>
      <c r="C99" s="304" t="s">
        <v>92</v>
      </c>
      <c r="D99" s="308">
        <f>D98/$B$98</f>
        <v>0.32564479999999996</v>
      </c>
      <c r="E99" s="240"/>
      <c r="F99" s="243">
        <f>F98/$B$98</f>
        <v>0.30944159999999998</v>
      </c>
      <c r="G99" s="309"/>
      <c r="H99" s="232"/>
    </row>
    <row r="100" spans="1:10" ht="19.5" customHeight="1" x14ac:dyDescent="0.35">
      <c r="A100" s="727"/>
      <c r="B100" s="728"/>
      <c r="C100" s="304" t="s">
        <v>57</v>
      </c>
      <c r="D100" s="310">
        <f>$B$56/$B$116</f>
        <v>0.3</v>
      </c>
      <c r="F100" s="248"/>
      <c r="G100" s="311"/>
      <c r="H100" s="232"/>
    </row>
    <row r="101" spans="1:10" ht="18" x14ac:dyDescent="0.35">
      <c r="C101" s="304" t="s">
        <v>58</v>
      </c>
      <c r="D101" s="305">
        <f>D100*$B$98</f>
        <v>15</v>
      </c>
      <c r="F101" s="248"/>
      <c r="G101" s="309"/>
      <c r="H101" s="232"/>
    </row>
    <row r="102" spans="1:10" ht="19.5" customHeight="1" x14ac:dyDescent="0.35">
      <c r="C102" s="312" t="s">
        <v>59</v>
      </c>
      <c r="D102" s="313">
        <f>D101/B34</f>
        <v>15</v>
      </c>
      <c r="F102" s="252"/>
      <c r="G102" s="309"/>
      <c r="H102" s="232"/>
      <c r="J102" s="314"/>
    </row>
    <row r="103" spans="1:10" ht="18" x14ac:dyDescent="0.35">
      <c r="C103" s="315" t="s">
        <v>93</v>
      </c>
      <c r="D103" s="316">
        <f>AVERAGE(E91:E94,G91:G94)</f>
        <v>60848206.77579397</v>
      </c>
      <c r="F103" s="252"/>
      <c r="G103" s="317"/>
      <c r="H103" s="232"/>
      <c r="J103" s="318"/>
    </row>
    <row r="104" spans="1:10" ht="18" x14ac:dyDescent="0.35">
      <c r="C104" s="282" t="s">
        <v>61</v>
      </c>
      <c r="D104" s="319">
        <f>STDEV(E91:E94,G91:G94)/D103</f>
        <v>7.328382935029876E-3</v>
      </c>
      <c r="F104" s="252"/>
      <c r="G104" s="309"/>
      <c r="H104" s="232"/>
      <c r="J104" s="318"/>
    </row>
    <row r="105" spans="1:10" ht="19.5" customHeight="1" x14ac:dyDescent="0.35">
      <c r="C105" s="284" t="s">
        <v>3</v>
      </c>
      <c r="D105" s="320">
        <f>COUNT(E91:E94,G91:G94)</f>
        <v>6</v>
      </c>
      <c r="F105" s="252"/>
      <c r="G105" s="309"/>
      <c r="H105" s="232"/>
      <c r="J105" s="318"/>
    </row>
    <row r="106" spans="1:10" ht="19.5" customHeight="1" x14ac:dyDescent="0.35">
      <c r="A106" s="256"/>
      <c r="B106" s="256"/>
      <c r="C106" s="256"/>
      <c r="D106" s="256"/>
      <c r="E106" s="256"/>
    </row>
    <row r="107" spans="1:10" ht="26.25" customHeight="1" x14ac:dyDescent="0.45">
      <c r="A107" s="204" t="s">
        <v>94</v>
      </c>
      <c r="B107" s="205">
        <v>1000</v>
      </c>
      <c r="C107" s="321" t="s">
        <v>121</v>
      </c>
      <c r="D107" s="322" t="s">
        <v>40</v>
      </c>
      <c r="E107" s="323" t="s">
        <v>95</v>
      </c>
      <c r="F107" s="324" t="s">
        <v>96</v>
      </c>
    </row>
    <row r="108" spans="1:10" ht="26.25" customHeight="1" x14ac:dyDescent="0.45">
      <c r="A108" s="206" t="s">
        <v>97</v>
      </c>
      <c r="B108" s="207">
        <v>1</v>
      </c>
      <c r="C108" s="325">
        <v>1</v>
      </c>
      <c r="D108" s="326">
        <v>53627153</v>
      </c>
      <c r="E108" s="356">
        <f t="shared" ref="E108:E113" si="1">IF(ISBLANK(D108),"-",D108/$D$103*$D$100*$B$116)</f>
        <v>264.39802834748491</v>
      </c>
      <c r="F108" s="327">
        <f t="shared" ref="F108:F113" si="2">IF(ISBLANK(D108), "-", E108/$B$56)</f>
        <v>0.88132676115828301</v>
      </c>
    </row>
    <row r="109" spans="1:10" ht="26.25" customHeight="1" x14ac:dyDescent="0.45">
      <c r="A109" s="206" t="s">
        <v>71</v>
      </c>
      <c r="B109" s="207">
        <v>1</v>
      </c>
      <c r="C109" s="325">
        <v>2</v>
      </c>
      <c r="D109" s="326">
        <v>59997533</v>
      </c>
      <c r="E109" s="357">
        <f t="shared" si="1"/>
        <v>295.80592187903699</v>
      </c>
      <c r="F109" s="328">
        <f t="shared" si="2"/>
        <v>0.9860197395967899</v>
      </c>
    </row>
    <row r="110" spans="1:10" ht="26.25" customHeight="1" x14ac:dyDescent="0.45">
      <c r="A110" s="206" t="s">
        <v>72</v>
      </c>
      <c r="B110" s="207">
        <v>1</v>
      </c>
      <c r="C110" s="325">
        <v>3</v>
      </c>
      <c r="D110" s="326">
        <v>59096176</v>
      </c>
      <c r="E110" s="357">
        <f t="shared" si="1"/>
        <v>291.36196018602664</v>
      </c>
      <c r="F110" s="328">
        <f t="shared" si="2"/>
        <v>0.97120653395342216</v>
      </c>
    </row>
    <row r="111" spans="1:10" ht="26.25" customHeight="1" x14ac:dyDescent="0.45">
      <c r="A111" s="206" t="s">
        <v>73</v>
      </c>
      <c r="B111" s="207">
        <v>1</v>
      </c>
      <c r="C111" s="325">
        <v>4</v>
      </c>
      <c r="D111" s="326">
        <v>58549587</v>
      </c>
      <c r="E111" s="357">
        <f t="shared" si="1"/>
        <v>288.667111665606</v>
      </c>
      <c r="F111" s="328">
        <f t="shared" si="2"/>
        <v>0.96222370555201997</v>
      </c>
    </row>
    <row r="112" spans="1:10" ht="26.25" customHeight="1" x14ac:dyDescent="0.45">
      <c r="A112" s="206" t="s">
        <v>74</v>
      </c>
      <c r="B112" s="207">
        <v>1</v>
      </c>
      <c r="C112" s="325">
        <v>5</v>
      </c>
      <c r="D112" s="326">
        <v>59356212</v>
      </c>
      <c r="E112" s="357">
        <f t="shared" si="1"/>
        <v>292.64401604491894</v>
      </c>
      <c r="F112" s="328">
        <f t="shared" si="2"/>
        <v>0.9754800534830631</v>
      </c>
    </row>
    <row r="113" spans="1:10" ht="26.25" customHeight="1" x14ac:dyDescent="0.45">
      <c r="A113" s="206" t="s">
        <v>76</v>
      </c>
      <c r="B113" s="207">
        <v>1</v>
      </c>
      <c r="C113" s="329">
        <v>6</v>
      </c>
      <c r="D113" s="330">
        <v>59442245</v>
      </c>
      <c r="E113" s="358">
        <f t="shared" si="1"/>
        <v>293.06818466660252</v>
      </c>
      <c r="F113" s="331">
        <f t="shared" si="2"/>
        <v>0.97689394888867509</v>
      </c>
    </row>
    <row r="114" spans="1:10" ht="26.25" customHeight="1" x14ac:dyDescent="0.45">
      <c r="A114" s="206" t="s">
        <v>77</v>
      </c>
      <c r="B114" s="207">
        <v>1</v>
      </c>
      <c r="C114" s="325"/>
      <c r="D114" s="279"/>
      <c r="E114" s="181"/>
      <c r="F114" s="332"/>
    </row>
    <row r="115" spans="1:10" ht="26.25" customHeight="1" x14ac:dyDescent="0.45">
      <c r="A115" s="206" t="s">
        <v>78</v>
      </c>
      <c r="B115" s="207">
        <v>1</v>
      </c>
      <c r="C115" s="325"/>
      <c r="D115" s="333" t="s">
        <v>48</v>
      </c>
      <c r="E115" s="360">
        <f>AVERAGE(E108:E113)</f>
        <v>287.65753713161268</v>
      </c>
      <c r="F115" s="334">
        <f>AVERAGE(F108:F113)</f>
        <v>0.95885845710537554</v>
      </c>
    </row>
    <row r="116" spans="1:10" ht="27" customHeight="1" x14ac:dyDescent="0.45">
      <c r="A116" s="206" t="s">
        <v>79</v>
      </c>
      <c r="B116" s="238">
        <f>(B115/B114)*(B113/B112)*(B111/B110)*(B109/B108)*B107</f>
        <v>1000</v>
      </c>
      <c r="C116" s="335"/>
      <c r="D116" s="699" t="s">
        <v>61</v>
      </c>
      <c r="E116" s="336">
        <f>STDEV(E108:E113)/E115</f>
        <v>4.0429975009871499E-2</v>
      </c>
      <c r="F116" s="336">
        <f>STDEV(F108:F113)/F115</f>
        <v>4.042997500987152E-2</v>
      </c>
      <c r="I116" s="181"/>
    </row>
    <row r="117" spans="1:10" ht="27" customHeight="1" x14ac:dyDescent="0.45">
      <c r="A117" s="725" t="s">
        <v>55</v>
      </c>
      <c r="B117" s="737"/>
      <c r="C117" s="337"/>
      <c r="D117" s="700" t="s">
        <v>3</v>
      </c>
      <c r="E117" s="338">
        <f>COUNT(E108:E113)</f>
        <v>6</v>
      </c>
      <c r="F117" s="338">
        <f>COUNT(F108:F113)</f>
        <v>6</v>
      </c>
      <c r="I117" s="181"/>
      <c r="J117" s="318"/>
    </row>
    <row r="118" spans="1:10" ht="19.5" customHeight="1" x14ac:dyDescent="0.35">
      <c r="A118" s="727"/>
      <c r="B118" s="738"/>
      <c r="C118" s="181"/>
      <c r="D118" s="181"/>
      <c r="E118" s="181"/>
      <c r="F118" s="279"/>
      <c r="G118" s="181"/>
      <c r="H118" s="181"/>
      <c r="I118" s="181"/>
    </row>
    <row r="119" spans="1:10" ht="18" x14ac:dyDescent="0.35">
      <c r="A119" s="347"/>
      <c r="B119" s="202"/>
      <c r="C119" s="181"/>
      <c r="D119" s="181"/>
      <c r="E119" s="181"/>
      <c r="F119" s="279"/>
      <c r="G119" s="181"/>
      <c r="H119" s="181"/>
      <c r="I119" s="181"/>
    </row>
    <row r="120" spans="1:10" ht="26.25" customHeight="1" x14ac:dyDescent="0.45">
      <c r="A120" s="191" t="s">
        <v>82</v>
      </c>
      <c r="B120" s="286" t="s">
        <v>98</v>
      </c>
      <c r="C120" s="715" t="str">
        <f>B79</f>
        <v>TENOFOVIR DISOPROXIL FUMARATE</v>
      </c>
      <c r="D120" s="715"/>
      <c r="E120" s="287" t="s">
        <v>99</v>
      </c>
      <c r="F120" s="287"/>
      <c r="G120" s="288">
        <f>F115</f>
        <v>0.95885845710537554</v>
      </c>
      <c r="H120" s="181"/>
      <c r="I120" s="181"/>
    </row>
    <row r="121" spans="1:10" ht="19.5" customHeight="1" x14ac:dyDescent="0.35">
      <c r="A121" s="339"/>
      <c r="B121" s="339"/>
      <c r="C121" s="340"/>
      <c r="D121" s="340"/>
      <c r="E121" s="340"/>
      <c r="F121" s="340"/>
      <c r="G121" s="340"/>
      <c r="H121" s="340"/>
    </row>
    <row r="122" spans="1:10" ht="18" x14ac:dyDescent="0.35">
      <c r="B122" s="716" t="s">
        <v>4</v>
      </c>
      <c r="C122" s="716"/>
      <c r="E122" s="293" t="s">
        <v>5</v>
      </c>
      <c r="F122" s="341"/>
      <c r="G122" s="716" t="s">
        <v>6</v>
      </c>
      <c r="H122" s="716"/>
    </row>
    <row r="123" spans="1:10" ht="69.900000000000006" customHeight="1" x14ac:dyDescent="0.35">
      <c r="A123" s="342" t="s">
        <v>7</v>
      </c>
      <c r="B123" s="343"/>
      <c r="C123" s="343"/>
      <c r="E123" s="343"/>
      <c r="F123" s="181"/>
      <c r="G123" s="344"/>
      <c r="H123" s="344"/>
    </row>
    <row r="124" spans="1:10" ht="69.900000000000006" customHeight="1" x14ac:dyDescent="0.35">
      <c r="A124" s="342" t="s">
        <v>8</v>
      </c>
      <c r="B124" s="345"/>
      <c r="C124" s="345"/>
      <c r="E124" s="345"/>
      <c r="F124" s="181"/>
      <c r="G124" s="346"/>
      <c r="H124" s="346"/>
    </row>
    <row r="125" spans="1:10" ht="18" x14ac:dyDescent="0.35">
      <c r="A125" s="278"/>
      <c r="B125" s="278"/>
      <c r="C125" s="279"/>
      <c r="D125" s="279"/>
      <c r="E125" s="279"/>
      <c r="F125" s="283"/>
      <c r="G125" s="279"/>
      <c r="H125" s="279"/>
      <c r="I125" s="181"/>
    </row>
    <row r="126" spans="1:10" ht="18" x14ac:dyDescent="0.35">
      <c r="A126" s="278"/>
      <c r="B126" s="278"/>
      <c r="C126" s="279"/>
      <c r="D126" s="279"/>
      <c r="E126" s="279"/>
      <c r="F126" s="283"/>
      <c r="G126" s="279"/>
      <c r="H126" s="279"/>
      <c r="I126" s="181"/>
    </row>
    <row r="127" spans="1:10" ht="18" x14ac:dyDescent="0.35">
      <c r="A127" s="278"/>
      <c r="B127" s="278"/>
      <c r="C127" s="279"/>
      <c r="D127" s="279"/>
      <c r="E127" s="279"/>
      <c r="F127" s="283"/>
      <c r="G127" s="279"/>
      <c r="H127" s="279"/>
      <c r="I127" s="181"/>
    </row>
    <row r="128" spans="1:10" ht="18" x14ac:dyDescent="0.35">
      <c r="A128" s="278"/>
      <c r="B128" s="278"/>
      <c r="C128" s="279"/>
      <c r="D128" s="279"/>
      <c r="E128" s="279"/>
      <c r="F128" s="283"/>
      <c r="G128" s="279"/>
      <c r="H128" s="279"/>
      <c r="I128" s="181"/>
    </row>
    <row r="129" spans="1:9" ht="18" x14ac:dyDescent="0.35">
      <c r="A129" s="278"/>
      <c r="B129" s="278"/>
      <c r="C129" s="279"/>
      <c r="D129" s="279"/>
      <c r="E129" s="279"/>
      <c r="F129" s="283"/>
      <c r="G129" s="279"/>
      <c r="H129" s="279"/>
      <c r="I129" s="181"/>
    </row>
    <row r="130" spans="1:9" ht="18" x14ac:dyDescent="0.35">
      <c r="A130" s="278"/>
      <c r="B130" s="278"/>
      <c r="C130" s="279"/>
      <c r="D130" s="279"/>
      <c r="E130" s="279"/>
      <c r="F130" s="283"/>
      <c r="G130" s="279"/>
      <c r="H130" s="279"/>
      <c r="I130" s="181"/>
    </row>
    <row r="131" spans="1:9" ht="18" x14ac:dyDescent="0.35">
      <c r="A131" s="278"/>
      <c r="B131" s="278"/>
      <c r="C131" s="279"/>
      <c r="D131" s="279"/>
      <c r="E131" s="279"/>
      <c r="F131" s="283"/>
      <c r="G131" s="279"/>
      <c r="H131" s="279"/>
      <c r="I131" s="181"/>
    </row>
    <row r="132" spans="1:9" ht="18" x14ac:dyDescent="0.35">
      <c r="A132" s="278"/>
      <c r="B132" s="278"/>
      <c r="C132" s="279"/>
      <c r="D132" s="279"/>
      <c r="E132" s="279"/>
      <c r="F132" s="283"/>
      <c r="G132" s="279"/>
      <c r="H132" s="279"/>
      <c r="I132" s="181"/>
    </row>
    <row r="133" spans="1:9" ht="18" x14ac:dyDescent="0.35">
      <c r="A133" s="278"/>
      <c r="B133" s="278"/>
      <c r="C133" s="279"/>
      <c r="D133" s="279"/>
      <c r="E133" s="279"/>
      <c r="F133" s="283"/>
      <c r="G133" s="279"/>
      <c r="H133" s="279"/>
      <c r="I133" s="181"/>
    </row>
    <row r="250" spans="1:1" x14ac:dyDescent="0.3">
      <c r="A250" s="1">
        <v>5</v>
      </c>
    </row>
  </sheetData>
  <sheetProtection formatColumns="0" formatRows="0" insertColumns="0" insertHyperlinks="0" deleteColumns="0" deleteRows="0" autoFilter="0" pivotTables="0"/>
  <mergeCells count="32">
    <mergeCell ref="A16:H16"/>
    <mergeCell ref="A17:H17"/>
    <mergeCell ref="B21:H21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6" priority="1" operator="greaterThan">
      <formula>0.02</formula>
    </cfRule>
  </conditionalFormatting>
  <conditionalFormatting sqref="D51">
    <cfRule type="cellIs" dxfId="15" priority="2" operator="greaterThan">
      <formula>0.02</formula>
    </cfRule>
  </conditionalFormatting>
  <conditionalFormatting sqref="G73">
    <cfRule type="cellIs" dxfId="14" priority="3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00" zoomScale="60" zoomScaleNormal="70" zoomScalePageLayoutView="50" workbookViewId="0">
      <selection activeCell="F115" sqref="F115"/>
    </sheetView>
  </sheetViews>
  <sheetFormatPr defaultColWidth="9.109375" defaultRowHeight="13.8" x14ac:dyDescent="0.3"/>
  <cols>
    <col min="1" max="1" width="55.44140625" style="1" customWidth="1"/>
    <col min="2" max="2" width="33.6640625" style="1" customWidth="1"/>
    <col min="3" max="3" width="42.33203125" style="1" customWidth="1"/>
    <col min="4" max="4" width="30.5546875" style="1" customWidth="1"/>
    <col min="5" max="5" width="39.88671875" style="1" customWidth="1"/>
    <col min="6" max="6" width="30.6640625" style="1" customWidth="1"/>
    <col min="7" max="7" width="39.88671875" style="1" customWidth="1"/>
    <col min="8" max="8" width="30" style="1" customWidth="1"/>
    <col min="9" max="9" width="30.33203125" style="1" hidden="1" customWidth="1"/>
    <col min="10" max="10" width="30.44140625" style="1" customWidth="1"/>
    <col min="11" max="11" width="21.33203125" style="1" customWidth="1"/>
    <col min="12" max="12" width="9.109375" style="1"/>
    <col min="13" max="16384" width="9.109375" style="584"/>
  </cols>
  <sheetData>
    <row r="1" spans="1:12" customFormat="1" ht="18.75" customHeight="1" x14ac:dyDescent="0.3">
      <c r="A1" s="735" t="s">
        <v>22</v>
      </c>
      <c r="B1" s="735"/>
      <c r="C1" s="735"/>
      <c r="D1" s="735"/>
      <c r="E1" s="735"/>
      <c r="F1" s="735"/>
      <c r="G1" s="735"/>
      <c r="H1" s="735"/>
      <c r="I1" s="735"/>
      <c r="J1" s="1"/>
      <c r="K1" s="1"/>
      <c r="L1" s="1"/>
    </row>
    <row r="2" spans="1:12" customFormat="1" ht="18.75" customHeight="1" x14ac:dyDescent="0.3">
      <c r="A2" s="735"/>
      <c r="B2" s="735"/>
      <c r="C2" s="735"/>
      <c r="D2" s="735"/>
      <c r="E2" s="735"/>
      <c r="F2" s="735"/>
      <c r="G2" s="735"/>
      <c r="H2" s="735"/>
      <c r="I2" s="735"/>
      <c r="J2" s="1"/>
      <c r="K2" s="1"/>
      <c r="L2" s="1"/>
    </row>
    <row r="3" spans="1:12" customFormat="1" ht="18.75" customHeight="1" x14ac:dyDescent="0.3">
      <c r="A3" s="735"/>
      <c r="B3" s="735"/>
      <c r="C3" s="735"/>
      <c r="D3" s="735"/>
      <c r="E3" s="735"/>
      <c r="F3" s="735"/>
      <c r="G3" s="735"/>
      <c r="H3" s="735"/>
      <c r="I3" s="735"/>
      <c r="J3" s="1"/>
      <c r="K3" s="1"/>
      <c r="L3" s="1"/>
    </row>
    <row r="4" spans="1:12" customFormat="1" ht="18.75" customHeight="1" x14ac:dyDescent="0.3">
      <c r="A4" s="735"/>
      <c r="B4" s="735"/>
      <c r="C4" s="735"/>
      <c r="D4" s="735"/>
      <c r="E4" s="735"/>
      <c r="F4" s="735"/>
      <c r="G4" s="735"/>
      <c r="H4" s="735"/>
      <c r="I4" s="735"/>
      <c r="J4" s="1"/>
      <c r="K4" s="1"/>
      <c r="L4" s="1"/>
    </row>
    <row r="5" spans="1:12" customFormat="1" ht="18.75" customHeight="1" x14ac:dyDescent="0.3">
      <c r="A5" s="735"/>
      <c r="B5" s="735"/>
      <c r="C5" s="735"/>
      <c r="D5" s="735"/>
      <c r="E5" s="735"/>
      <c r="F5" s="735"/>
      <c r="G5" s="735"/>
      <c r="H5" s="735"/>
      <c r="I5" s="735"/>
      <c r="J5" s="1"/>
      <c r="K5" s="1"/>
      <c r="L5" s="1"/>
    </row>
    <row r="6" spans="1:12" customFormat="1" ht="18.75" customHeight="1" x14ac:dyDescent="0.3">
      <c r="A6" s="735"/>
      <c r="B6" s="735"/>
      <c r="C6" s="735"/>
      <c r="D6" s="735"/>
      <c r="E6" s="735"/>
      <c r="F6" s="735"/>
      <c r="G6" s="735"/>
      <c r="H6" s="735"/>
      <c r="I6" s="735"/>
      <c r="J6" s="1"/>
      <c r="K6" s="1"/>
      <c r="L6" s="1"/>
    </row>
    <row r="7" spans="1:12" customFormat="1" ht="18.75" customHeight="1" x14ac:dyDescent="0.3">
      <c r="A7" s="735"/>
      <c r="B7" s="735"/>
      <c r="C7" s="735"/>
      <c r="D7" s="735"/>
      <c r="E7" s="735"/>
      <c r="F7" s="735"/>
      <c r="G7" s="735"/>
      <c r="H7" s="735"/>
      <c r="I7" s="735"/>
      <c r="J7" s="1"/>
      <c r="K7" s="1"/>
      <c r="L7" s="1"/>
    </row>
    <row r="8" spans="1:12" customFormat="1" x14ac:dyDescent="0.3">
      <c r="A8" s="736" t="s">
        <v>23</v>
      </c>
      <c r="B8" s="736"/>
      <c r="C8" s="736"/>
      <c r="D8" s="736"/>
      <c r="E8" s="736"/>
      <c r="F8" s="736"/>
      <c r="G8" s="736"/>
      <c r="H8" s="736"/>
      <c r="I8" s="736"/>
      <c r="J8" s="1"/>
      <c r="K8" s="1"/>
      <c r="L8" s="1"/>
    </row>
    <row r="9" spans="1:12" customFormat="1" x14ac:dyDescent="0.3">
      <c r="A9" s="736"/>
      <c r="B9" s="736"/>
      <c r="C9" s="736"/>
      <c r="D9" s="736"/>
      <c r="E9" s="736"/>
      <c r="F9" s="736"/>
      <c r="G9" s="736"/>
      <c r="H9" s="736"/>
      <c r="I9" s="736"/>
      <c r="J9" s="1"/>
      <c r="K9" s="1"/>
      <c r="L9" s="1"/>
    </row>
    <row r="10" spans="1:12" customFormat="1" x14ac:dyDescent="0.3">
      <c r="A10" s="736"/>
      <c r="B10" s="736"/>
      <c r="C10" s="736"/>
      <c r="D10" s="736"/>
      <c r="E10" s="736"/>
      <c r="F10" s="736"/>
      <c r="G10" s="736"/>
      <c r="H10" s="736"/>
      <c r="I10" s="736"/>
      <c r="J10" s="1"/>
      <c r="K10" s="1"/>
      <c r="L10" s="1"/>
    </row>
    <row r="11" spans="1:12" customFormat="1" x14ac:dyDescent="0.3">
      <c r="A11" s="736"/>
      <c r="B11" s="736"/>
      <c r="C11" s="736"/>
      <c r="D11" s="736"/>
      <c r="E11" s="736"/>
      <c r="F11" s="736"/>
      <c r="G11" s="736"/>
      <c r="H11" s="736"/>
      <c r="I11" s="736"/>
      <c r="J11" s="1"/>
      <c r="K11" s="1"/>
      <c r="L11" s="1"/>
    </row>
    <row r="12" spans="1:12" customFormat="1" x14ac:dyDescent="0.3">
      <c r="A12" s="736"/>
      <c r="B12" s="736"/>
      <c r="C12" s="736"/>
      <c r="D12" s="736"/>
      <c r="E12" s="736"/>
      <c r="F12" s="736"/>
      <c r="G12" s="736"/>
      <c r="H12" s="736"/>
      <c r="I12" s="736"/>
      <c r="J12" s="1"/>
      <c r="K12" s="1"/>
      <c r="L12" s="1"/>
    </row>
    <row r="13" spans="1:12" customFormat="1" x14ac:dyDescent="0.3">
      <c r="A13" s="736"/>
      <c r="B13" s="736"/>
      <c r="C13" s="736"/>
      <c r="D13" s="736"/>
      <c r="E13" s="736"/>
      <c r="F13" s="736"/>
      <c r="G13" s="736"/>
      <c r="H13" s="736"/>
      <c r="I13" s="736"/>
      <c r="J13" s="1"/>
      <c r="K13" s="1"/>
      <c r="L13" s="1"/>
    </row>
    <row r="14" spans="1:12" customFormat="1" x14ac:dyDescent="0.3">
      <c r="A14" s="736"/>
      <c r="B14" s="736"/>
      <c r="C14" s="736"/>
      <c r="D14" s="736"/>
      <c r="E14" s="736"/>
      <c r="F14" s="736"/>
      <c r="G14" s="736"/>
      <c r="H14" s="736"/>
      <c r="I14" s="736"/>
      <c r="J14" s="1"/>
      <c r="K14" s="1"/>
      <c r="L14" s="1"/>
    </row>
    <row r="15" spans="1:12" customFormat="1" ht="19.5" customHeight="1" x14ac:dyDescent="0.35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customFormat="1" ht="19.5" customHeight="1" x14ac:dyDescent="0.35">
      <c r="A16" s="746" t="s">
        <v>9</v>
      </c>
      <c r="B16" s="747"/>
      <c r="C16" s="747"/>
      <c r="D16" s="747"/>
      <c r="E16" s="747"/>
      <c r="F16" s="747"/>
      <c r="G16" s="747"/>
      <c r="H16" s="748"/>
      <c r="I16" s="1"/>
      <c r="J16" s="1"/>
      <c r="K16" s="1"/>
      <c r="L16" s="1"/>
    </row>
    <row r="17" spans="1:14" customFormat="1" ht="20.25" customHeight="1" x14ac:dyDescent="0.3">
      <c r="A17" s="749" t="s">
        <v>24</v>
      </c>
      <c r="B17" s="749"/>
      <c r="C17" s="749"/>
      <c r="D17" s="749"/>
      <c r="E17" s="749"/>
      <c r="F17" s="749"/>
      <c r="G17" s="749"/>
      <c r="H17" s="749"/>
      <c r="I17" s="1"/>
      <c r="J17" s="1"/>
      <c r="K17" s="1"/>
      <c r="L17" s="1"/>
    </row>
    <row r="18" spans="1:14" customFormat="1" ht="26.25" customHeight="1" x14ac:dyDescent="0.5">
      <c r="A18" s="5" t="s">
        <v>11</v>
      </c>
      <c r="B18" s="652" t="s">
        <v>126</v>
      </c>
      <c r="C18" s="652"/>
      <c r="D18" s="167"/>
      <c r="E18" s="6"/>
      <c r="F18" s="7"/>
      <c r="G18" s="7"/>
      <c r="H18" s="7"/>
      <c r="I18" s="1"/>
      <c r="J18" s="1"/>
      <c r="K18" s="1"/>
      <c r="L18" s="1"/>
    </row>
    <row r="19" spans="1:14" customFormat="1" ht="26.25" customHeight="1" x14ac:dyDescent="0.5">
      <c r="A19" s="5" t="s">
        <v>12</v>
      </c>
      <c r="B19" s="8" t="s">
        <v>134</v>
      </c>
      <c r="C19" s="180">
        <v>29</v>
      </c>
      <c r="D19" s="7"/>
      <c r="E19" s="7"/>
      <c r="F19" s="7"/>
      <c r="G19" s="7"/>
      <c r="H19" s="7"/>
      <c r="I19" s="1"/>
      <c r="J19" s="1"/>
      <c r="K19" s="1"/>
      <c r="L19" s="1"/>
    </row>
    <row r="20" spans="1:14" customFormat="1" ht="26.25" customHeight="1" x14ac:dyDescent="0.5">
      <c r="A20" s="5" t="s">
        <v>13</v>
      </c>
      <c r="B20" s="653" t="s">
        <v>127</v>
      </c>
      <c r="C20" s="653"/>
      <c r="D20" s="7"/>
      <c r="E20" s="7"/>
      <c r="F20" s="7"/>
      <c r="G20" s="7"/>
      <c r="H20" s="7"/>
      <c r="I20" s="1"/>
      <c r="J20" s="1"/>
      <c r="K20" s="1"/>
      <c r="L20" s="1"/>
    </row>
    <row r="21" spans="1:14" customFormat="1" ht="26.25" customHeight="1" x14ac:dyDescent="0.5">
      <c r="A21" s="5" t="s">
        <v>14</v>
      </c>
      <c r="B21" s="653" t="s">
        <v>130</v>
      </c>
      <c r="C21" s="653"/>
      <c r="D21" s="653"/>
      <c r="E21" s="653"/>
      <c r="F21" s="653"/>
      <c r="G21" s="653"/>
      <c r="H21" s="653"/>
      <c r="I21" s="9"/>
      <c r="J21" s="1"/>
      <c r="K21" s="1"/>
      <c r="L21" s="1"/>
    </row>
    <row r="22" spans="1:14" customFormat="1" ht="26.25" customHeight="1" x14ac:dyDescent="0.5">
      <c r="A22" s="5" t="s">
        <v>15</v>
      </c>
      <c r="B22" s="10">
        <v>42495.458773148152</v>
      </c>
      <c r="C22" s="7"/>
      <c r="D22" s="7"/>
      <c r="E22" s="7"/>
      <c r="F22" s="7"/>
      <c r="G22" s="7"/>
      <c r="H22" s="7"/>
      <c r="I22" s="1"/>
      <c r="J22" s="1"/>
      <c r="K22" s="1"/>
      <c r="L22" s="1"/>
    </row>
    <row r="23" spans="1:14" customFormat="1" ht="26.25" customHeight="1" x14ac:dyDescent="0.5">
      <c r="A23" s="5" t="s">
        <v>16</v>
      </c>
      <c r="B23" s="10">
        <v>42500.458773148152</v>
      </c>
      <c r="C23" s="7"/>
      <c r="D23" s="7"/>
      <c r="E23" s="7"/>
      <c r="F23" s="7"/>
      <c r="G23" s="7"/>
      <c r="H23" s="7"/>
      <c r="I23" s="1"/>
      <c r="J23" s="1"/>
      <c r="K23" s="1"/>
      <c r="L23" s="1"/>
    </row>
    <row r="24" spans="1:14" customFormat="1" ht="18" x14ac:dyDescent="0.35">
      <c r="A24" s="5"/>
      <c r="B24" s="1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4" customFormat="1" ht="18" x14ac:dyDescent="0.35">
      <c r="A25" s="12" t="s">
        <v>0</v>
      </c>
      <c r="B25" s="1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4" customFormat="1" ht="26.25" customHeight="1" x14ac:dyDescent="0.45">
      <c r="A26" s="13" t="s">
        <v>1</v>
      </c>
      <c r="B26" s="679" t="s">
        <v>131</v>
      </c>
      <c r="C26" s="489"/>
      <c r="D26" s="1"/>
      <c r="E26" s="1"/>
      <c r="F26" s="1"/>
      <c r="G26" s="1"/>
      <c r="H26" s="1"/>
      <c r="I26" s="1"/>
      <c r="J26" s="1"/>
      <c r="K26" s="1"/>
      <c r="L26" s="1"/>
    </row>
    <row r="27" spans="1:14" customFormat="1" ht="26.25" customHeight="1" x14ac:dyDescent="0.5">
      <c r="A27" s="14" t="s">
        <v>25</v>
      </c>
      <c r="B27" s="656" t="s">
        <v>100</v>
      </c>
      <c r="C27" s="489"/>
      <c r="D27" s="1"/>
      <c r="E27" s="1"/>
      <c r="F27" s="1"/>
      <c r="G27" s="1"/>
      <c r="H27" s="1"/>
      <c r="I27" s="1"/>
      <c r="J27" s="1"/>
      <c r="K27" s="1"/>
      <c r="L27" s="1"/>
    </row>
    <row r="28" spans="1:14" customFormat="1" ht="27" customHeight="1" thickBot="1" x14ac:dyDescent="0.5">
      <c r="A28" s="14" t="s">
        <v>2</v>
      </c>
      <c r="B28" s="15">
        <v>99.3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4" s="581" customFormat="1" ht="27" customHeight="1" x14ac:dyDescent="0.5">
      <c r="A29" s="14" t="s">
        <v>26</v>
      </c>
      <c r="B29" s="16">
        <v>0</v>
      </c>
      <c r="C29" s="717" t="s">
        <v>27</v>
      </c>
      <c r="D29" s="718"/>
      <c r="E29" s="718"/>
      <c r="F29" s="718"/>
      <c r="G29" s="719"/>
      <c r="H29" s="2"/>
      <c r="I29" s="17"/>
      <c r="J29" s="17"/>
      <c r="K29" s="17"/>
      <c r="L29" s="17"/>
    </row>
    <row r="30" spans="1:14" s="581" customFormat="1" ht="19.5" customHeight="1" x14ac:dyDescent="0.35">
      <c r="A30" s="14" t="s">
        <v>28</v>
      </c>
      <c r="B30" s="18">
        <f>B28-B29</f>
        <v>99.3</v>
      </c>
      <c r="C30" s="19"/>
      <c r="D30" s="19"/>
      <c r="E30" s="19"/>
      <c r="F30" s="19"/>
      <c r="G30" s="20"/>
      <c r="H30" s="2"/>
      <c r="I30" s="17"/>
      <c r="J30" s="17"/>
      <c r="K30" s="17"/>
      <c r="L30" s="17"/>
    </row>
    <row r="31" spans="1:14" s="581" customFormat="1" ht="27" customHeight="1" x14ac:dyDescent="0.45">
      <c r="A31" s="14" t="s">
        <v>29</v>
      </c>
      <c r="B31" s="21">
        <v>1</v>
      </c>
      <c r="C31" s="720" t="s">
        <v>30</v>
      </c>
      <c r="D31" s="721"/>
      <c r="E31" s="721"/>
      <c r="F31" s="721"/>
      <c r="G31" s="721"/>
      <c r="H31" s="722"/>
      <c r="I31" s="17"/>
      <c r="J31" s="17"/>
      <c r="K31" s="17"/>
      <c r="L31" s="17"/>
    </row>
    <row r="32" spans="1:14" s="581" customFormat="1" ht="27" customHeight="1" x14ac:dyDescent="0.45">
      <c r="A32" s="14" t="s">
        <v>31</v>
      </c>
      <c r="B32" s="21">
        <v>1</v>
      </c>
      <c r="C32" s="720" t="s">
        <v>32</v>
      </c>
      <c r="D32" s="721"/>
      <c r="E32" s="721"/>
      <c r="F32" s="721"/>
      <c r="G32" s="721"/>
      <c r="H32" s="722"/>
      <c r="I32" s="17"/>
      <c r="J32" s="17"/>
      <c r="K32" s="17"/>
      <c r="L32" s="22"/>
      <c r="M32" s="582"/>
      <c r="N32" s="583"/>
    </row>
    <row r="33" spans="1:14" s="581" customFormat="1" ht="17.25" customHeight="1" x14ac:dyDescent="0.35">
      <c r="A33" s="14"/>
      <c r="B33" s="23"/>
      <c r="C33" s="24"/>
      <c r="D33" s="24"/>
      <c r="E33" s="24"/>
      <c r="F33" s="24"/>
      <c r="G33" s="24"/>
      <c r="H33" s="24"/>
      <c r="I33" s="17"/>
      <c r="J33" s="17"/>
      <c r="K33" s="17"/>
      <c r="L33" s="22"/>
      <c r="M33" s="582"/>
      <c r="N33" s="583"/>
    </row>
    <row r="34" spans="1:14" s="581" customFormat="1" ht="18" x14ac:dyDescent="0.35">
      <c r="A34" s="14" t="s">
        <v>33</v>
      </c>
      <c r="B34" s="25">
        <f>B31/B32</f>
        <v>1</v>
      </c>
      <c r="C34" s="4" t="s">
        <v>34</v>
      </c>
      <c r="D34" s="4"/>
      <c r="E34" s="4"/>
      <c r="F34" s="4"/>
      <c r="G34" s="4"/>
      <c r="I34" s="17"/>
      <c r="J34" s="17"/>
      <c r="K34" s="17"/>
      <c r="L34" s="22"/>
      <c r="M34" s="582"/>
      <c r="N34" s="583"/>
    </row>
    <row r="35" spans="1:14" s="581" customFormat="1" ht="19.5" customHeight="1" x14ac:dyDescent="0.35">
      <c r="A35" s="14"/>
      <c r="B35" s="18"/>
      <c r="C35" s="467"/>
      <c r="D35" s="467"/>
      <c r="E35" s="467"/>
      <c r="F35" s="467"/>
      <c r="G35" s="4"/>
      <c r="I35" s="17"/>
      <c r="J35" s="17"/>
      <c r="K35" s="17"/>
      <c r="L35" s="22"/>
      <c r="M35" s="582"/>
      <c r="N35" s="583"/>
    </row>
    <row r="36" spans="1:14" s="581" customFormat="1" ht="27" customHeight="1" x14ac:dyDescent="0.45">
      <c r="A36" s="26" t="s">
        <v>35</v>
      </c>
      <c r="B36" s="27">
        <v>25</v>
      </c>
      <c r="C36" s="4"/>
      <c r="D36" s="723" t="s">
        <v>36</v>
      </c>
      <c r="E36" s="745"/>
      <c r="F36" s="752" t="s">
        <v>37</v>
      </c>
      <c r="G36" s="753"/>
      <c r="I36" s="665"/>
      <c r="J36" s="17"/>
      <c r="K36" s="17"/>
      <c r="L36" s="22"/>
      <c r="M36" s="582"/>
      <c r="N36" s="583"/>
    </row>
    <row r="37" spans="1:14" s="581" customFormat="1" ht="27" customHeight="1" x14ac:dyDescent="0.45">
      <c r="A37" s="28" t="s">
        <v>38</v>
      </c>
      <c r="B37" s="29">
        <v>5</v>
      </c>
      <c r="C37" s="30" t="s">
        <v>39</v>
      </c>
      <c r="D37" s="31" t="s">
        <v>40</v>
      </c>
      <c r="E37" s="32" t="s">
        <v>41</v>
      </c>
      <c r="F37" s="669" t="s">
        <v>40</v>
      </c>
      <c r="G37" s="670" t="s">
        <v>41</v>
      </c>
      <c r="I37" s="666" t="s">
        <v>42</v>
      </c>
      <c r="J37" s="17"/>
      <c r="K37" s="17"/>
      <c r="L37" s="22"/>
      <c r="M37" s="582"/>
      <c r="N37" s="583"/>
    </row>
    <row r="38" spans="1:14" s="581" customFormat="1" ht="26.25" customHeight="1" x14ac:dyDescent="0.45">
      <c r="A38" s="28" t="s">
        <v>43</v>
      </c>
      <c r="B38" s="29">
        <v>50</v>
      </c>
      <c r="C38" s="34">
        <v>1</v>
      </c>
      <c r="D38" s="35">
        <v>45662253</v>
      </c>
      <c r="E38" s="36">
        <f>IF(ISBLANK(D38),"-",$D$48/$D$45*D38)</f>
        <v>47002530.147145867</v>
      </c>
      <c r="F38" s="671">
        <v>42965470</v>
      </c>
      <c r="G38" s="672">
        <f>IF(ISBLANK(F38),"-",$D$48/$F$45*F38)</f>
        <v>47013779.542636923</v>
      </c>
      <c r="I38" s="667"/>
      <c r="J38" s="17"/>
      <c r="K38" s="17"/>
      <c r="L38" s="22"/>
      <c r="M38" s="582"/>
      <c r="N38" s="583"/>
    </row>
    <row r="39" spans="1:14" s="581" customFormat="1" ht="26.25" customHeight="1" x14ac:dyDescent="0.45">
      <c r="A39" s="28" t="s">
        <v>44</v>
      </c>
      <c r="B39" s="29">
        <v>1</v>
      </c>
      <c r="C39" s="39">
        <v>2</v>
      </c>
      <c r="D39" s="40">
        <v>45597828</v>
      </c>
      <c r="E39" s="41">
        <f>IF(ISBLANK(D39),"-",$D$48/$D$45*D39)</f>
        <v>46936214.14638415</v>
      </c>
      <c r="F39" s="673">
        <v>42942842</v>
      </c>
      <c r="G39" s="674">
        <f>IF(ISBLANK(F39),"-",$D$48/$F$45*F39)</f>
        <v>46989019.47825288</v>
      </c>
      <c r="I39" s="754">
        <f>ABS((F43/D43*D42)-F42)/D42</f>
        <v>3.2606960292588962E-4</v>
      </c>
      <c r="J39" s="17"/>
      <c r="K39" s="17"/>
      <c r="L39" s="22"/>
      <c r="M39" s="582"/>
      <c r="N39" s="583"/>
    </row>
    <row r="40" spans="1:14" customFormat="1" ht="26.25" customHeight="1" x14ac:dyDescent="0.45">
      <c r="A40" s="28" t="s">
        <v>45</v>
      </c>
      <c r="B40" s="29">
        <v>1</v>
      </c>
      <c r="C40" s="39">
        <v>3</v>
      </c>
      <c r="D40" s="40">
        <v>45584053</v>
      </c>
      <c r="E40" s="41">
        <f>IF(ISBLANK(D40),"-",$D$48/$D$45*D40)</f>
        <v>46922034.8229772</v>
      </c>
      <c r="F40" s="673">
        <v>42867707</v>
      </c>
      <c r="G40" s="674">
        <f>IF(ISBLANK(F40),"-",$D$48/$F$45*F40)</f>
        <v>46906805.078504987</v>
      </c>
      <c r="H40" s="585"/>
      <c r="I40" s="754"/>
      <c r="J40" s="1"/>
      <c r="K40" s="1"/>
      <c r="L40" s="22"/>
      <c r="M40" s="22"/>
      <c r="N40" s="43"/>
    </row>
    <row r="41" spans="1:14" customFormat="1" ht="27" customHeight="1" x14ac:dyDescent="0.45">
      <c r="A41" s="28" t="s">
        <v>46</v>
      </c>
      <c r="B41" s="29">
        <v>1</v>
      </c>
      <c r="C41" s="44">
        <v>4</v>
      </c>
      <c r="D41" s="45"/>
      <c r="E41" s="46" t="str">
        <f>IF(ISBLANK(D41),"-",$D$48/$D$45*D41)</f>
        <v>-</v>
      </c>
      <c r="F41" s="675"/>
      <c r="G41" s="676" t="str">
        <f>IF(ISBLANK(F41),"-",$D$48/$F$45*F41)</f>
        <v>-</v>
      </c>
      <c r="H41" s="1"/>
      <c r="I41" s="48"/>
      <c r="J41" s="1"/>
      <c r="K41" s="1"/>
      <c r="L41" s="22"/>
      <c r="M41" s="22"/>
      <c r="N41" s="43"/>
    </row>
    <row r="42" spans="1:14" customFormat="1" ht="27" customHeight="1" thickBot="1" x14ac:dyDescent="0.5">
      <c r="A42" s="28" t="s">
        <v>47</v>
      </c>
      <c r="B42" s="29">
        <v>1</v>
      </c>
      <c r="C42" s="49" t="s">
        <v>48</v>
      </c>
      <c r="D42" s="50">
        <f>AVERAGE(D38:D41)</f>
        <v>45614711.333333336</v>
      </c>
      <c r="E42" s="51">
        <f>AVERAGE(E38:E41)</f>
        <v>46953593.038835742</v>
      </c>
      <c r="F42" s="677">
        <f>AVERAGE(F38:F41)</f>
        <v>42925339.666666664</v>
      </c>
      <c r="G42" s="678">
        <f>AVERAGE(G38:G41)</f>
        <v>46969868.033131599</v>
      </c>
      <c r="H42" s="52"/>
      <c r="I42" s="1"/>
      <c r="J42" s="1"/>
      <c r="K42" s="1"/>
      <c r="L42" s="1"/>
    </row>
    <row r="43" spans="1:14" customFormat="1" ht="26.25" customHeight="1" x14ac:dyDescent="0.45">
      <c r="A43" s="28" t="s">
        <v>49</v>
      </c>
      <c r="B43" s="29">
        <v>1</v>
      </c>
      <c r="C43" s="53" t="s">
        <v>50</v>
      </c>
      <c r="D43" s="54">
        <v>29.35</v>
      </c>
      <c r="E43" s="43"/>
      <c r="F43" s="668">
        <v>27.61</v>
      </c>
      <c r="G43" s="1"/>
      <c r="H43" s="52"/>
      <c r="I43" s="1"/>
      <c r="J43" s="1"/>
      <c r="K43" s="1"/>
      <c r="L43" s="1"/>
    </row>
    <row r="44" spans="1:14" customFormat="1" ht="26.25" customHeight="1" x14ac:dyDescent="0.45">
      <c r="A44" s="28" t="s">
        <v>51</v>
      </c>
      <c r="B44" s="29">
        <v>1</v>
      </c>
      <c r="C44" s="55" t="s">
        <v>52</v>
      </c>
      <c r="D44" s="56">
        <f>D43*$B$34</f>
        <v>29.35</v>
      </c>
      <c r="E44" s="57"/>
      <c r="F44" s="56">
        <f>F43*$B$34</f>
        <v>27.61</v>
      </c>
      <c r="G44" s="1"/>
      <c r="H44" s="52"/>
      <c r="I44" s="1"/>
      <c r="J44" s="1"/>
      <c r="K44" s="1"/>
      <c r="L44" s="1"/>
    </row>
    <row r="45" spans="1:14" customFormat="1" ht="19.5" customHeight="1" x14ac:dyDescent="0.35">
      <c r="A45" s="28" t="s">
        <v>53</v>
      </c>
      <c r="B45" s="58">
        <f>(B44/B43)*(B42/B41)*(B40/B39)*(B38/B37)*B36</f>
        <v>250</v>
      </c>
      <c r="C45" s="55" t="s">
        <v>54</v>
      </c>
      <c r="D45" s="59">
        <f>D44*$B$30/100</f>
        <v>29.144549999999999</v>
      </c>
      <c r="E45" s="60"/>
      <c r="F45" s="59">
        <f>F44*$B$30/100</f>
        <v>27.416729999999998</v>
      </c>
      <c r="G45" s="1"/>
      <c r="H45" s="52"/>
      <c r="I45" s="1"/>
      <c r="J45" s="1"/>
      <c r="K45" s="1"/>
      <c r="L45" s="1"/>
    </row>
    <row r="46" spans="1:14" customFormat="1" ht="19.5" customHeight="1" x14ac:dyDescent="0.35">
      <c r="A46" s="725" t="s">
        <v>55</v>
      </c>
      <c r="B46" s="737"/>
      <c r="C46" s="55" t="s">
        <v>56</v>
      </c>
      <c r="D46" s="61">
        <f>D45/$B$45</f>
        <v>0.11657819999999999</v>
      </c>
      <c r="E46" s="62"/>
      <c r="F46" s="63">
        <f>F45/$B$45</f>
        <v>0.10966691999999999</v>
      </c>
      <c r="G46" s="1"/>
      <c r="H46" s="52"/>
      <c r="I46" s="1"/>
      <c r="J46" s="1"/>
      <c r="K46" s="1"/>
      <c r="L46" s="1"/>
    </row>
    <row r="47" spans="1:14" customFormat="1" ht="27" customHeight="1" x14ac:dyDescent="0.45">
      <c r="A47" s="727"/>
      <c r="B47" s="738"/>
      <c r="C47" s="64" t="s">
        <v>57</v>
      </c>
      <c r="D47" s="65">
        <v>0.12</v>
      </c>
      <c r="E47" s="66"/>
      <c r="F47" s="62"/>
      <c r="G47" s="1"/>
      <c r="H47" s="52"/>
      <c r="I47" s="1"/>
      <c r="J47" s="1"/>
      <c r="K47" s="1"/>
      <c r="L47" s="1"/>
    </row>
    <row r="48" spans="1:14" customFormat="1" ht="18" x14ac:dyDescent="0.35">
      <c r="A48" s="1"/>
      <c r="B48" s="1"/>
      <c r="C48" s="67" t="s">
        <v>58</v>
      </c>
      <c r="D48" s="59">
        <f>D47*$B$45</f>
        <v>30</v>
      </c>
      <c r="E48" s="1"/>
      <c r="F48" s="68"/>
      <c r="G48" s="1"/>
      <c r="H48" s="52"/>
      <c r="I48" s="1"/>
      <c r="J48" s="1"/>
      <c r="K48" s="1"/>
      <c r="L48" s="1"/>
    </row>
    <row r="49" spans="1:12" customFormat="1" ht="19.5" customHeight="1" x14ac:dyDescent="0.35">
      <c r="A49" s="1"/>
      <c r="B49" s="1"/>
      <c r="C49" s="69" t="s">
        <v>59</v>
      </c>
      <c r="D49" s="70">
        <f>D48/B34</f>
        <v>30</v>
      </c>
      <c r="E49" s="1"/>
      <c r="F49" s="68"/>
      <c r="G49" s="1"/>
      <c r="H49" s="52"/>
      <c r="I49" s="1"/>
      <c r="J49" s="1"/>
      <c r="K49" s="1"/>
      <c r="L49" s="1"/>
    </row>
    <row r="50" spans="1:12" customFormat="1" ht="18" x14ac:dyDescent="0.35">
      <c r="A50" s="1"/>
      <c r="B50" s="1"/>
      <c r="C50" s="26" t="s">
        <v>60</v>
      </c>
      <c r="D50" s="71">
        <f>AVERAGE(E38:E41,G38:G41)</f>
        <v>46961730.535983674</v>
      </c>
      <c r="E50" s="1"/>
      <c r="F50" s="72"/>
      <c r="G50" s="1"/>
      <c r="H50" s="52"/>
      <c r="I50" s="1"/>
      <c r="J50" s="1"/>
      <c r="K50" s="1"/>
      <c r="L50" s="1"/>
    </row>
    <row r="51" spans="1:12" customFormat="1" ht="18" x14ac:dyDescent="0.35">
      <c r="A51" s="1"/>
      <c r="B51" s="1"/>
      <c r="C51" s="28" t="s">
        <v>61</v>
      </c>
      <c r="D51" s="73">
        <f>STDEV(E38:E41,G38:G41)/D50</f>
        <v>9.6937862911232442E-4</v>
      </c>
      <c r="E51" s="1"/>
      <c r="F51" s="72"/>
      <c r="G51" s="1"/>
      <c r="H51" s="52"/>
      <c r="I51" s="1"/>
      <c r="J51" s="1"/>
      <c r="K51" s="1"/>
      <c r="L51" s="1"/>
    </row>
    <row r="52" spans="1:12" customFormat="1" ht="19.5" customHeight="1" x14ac:dyDescent="0.35">
      <c r="A52" s="1"/>
      <c r="B52" s="1"/>
      <c r="C52" s="74" t="s">
        <v>3</v>
      </c>
      <c r="D52" s="75">
        <f>COUNT(E38:E41,G38:G41)</f>
        <v>6</v>
      </c>
      <c r="E52" s="1"/>
      <c r="F52" s="72"/>
      <c r="G52" s="1"/>
      <c r="H52" s="1"/>
      <c r="I52" s="1"/>
      <c r="J52" s="1"/>
      <c r="K52" s="1"/>
      <c r="L52" s="1"/>
    </row>
    <row r="53" spans="1:12" customForma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customFormat="1" ht="18" x14ac:dyDescent="0.35">
      <c r="A54" s="76" t="s">
        <v>0</v>
      </c>
      <c r="B54" s="77" t="s">
        <v>62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customFormat="1" ht="18" x14ac:dyDescent="0.35">
      <c r="A55" s="4" t="s">
        <v>63</v>
      </c>
      <c r="B55" s="78" t="str">
        <f>B21</f>
        <v>Each film-coated tablet contains Efavirenz 600 mg, Lamivudine USP 300 mg, Tenofovir Disoproxil Fumarate 300 mg equivalent to tenofovir disoproxil 245 mg</v>
      </c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26.25" customHeight="1" x14ac:dyDescent="0.45">
      <c r="A56" s="79" t="s">
        <v>64</v>
      </c>
      <c r="B56" s="80">
        <v>600</v>
      </c>
      <c r="C56" s="4" t="str">
        <f>B20</f>
        <v>Efavirenz 600 mg, Lamivudine 300 mg and Tenofovir Disoproxil Fumarate 300 mg Tablets</v>
      </c>
      <c r="H56" s="81"/>
    </row>
    <row r="57" spans="1:12" ht="18" x14ac:dyDescent="0.35">
      <c r="A57" s="78" t="s">
        <v>140</v>
      </c>
      <c r="B57" s="168">
        <f>'Uniformity '!C44</f>
        <v>1765.5585000000003</v>
      </c>
      <c r="G57" s="660">
        <f>D47*F60/D50*B68*B69/D60/B56</f>
        <v>0.94864424502305422</v>
      </c>
      <c r="H57" s="81"/>
      <c r="K57" s="585"/>
    </row>
    <row r="58" spans="1:12" ht="19.5" customHeight="1" x14ac:dyDescent="0.35">
      <c r="H58" s="81"/>
      <c r="K58" s="585"/>
    </row>
    <row r="59" spans="1:12" s="581" customFormat="1" ht="27" customHeight="1" thickBot="1" x14ac:dyDescent="0.5">
      <c r="A59" s="26" t="s">
        <v>65</v>
      </c>
      <c r="B59" s="27">
        <v>200</v>
      </c>
      <c r="C59" s="4"/>
      <c r="D59" s="82" t="s">
        <v>66</v>
      </c>
      <c r="E59" s="83" t="s">
        <v>39</v>
      </c>
      <c r="F59" s="83" t="s">
        <v>40</v>
      </c>
      <c r="G59" s="83" t="s">
        <v>67</v>
      </c>
      <c r="H59" s="30" t="s">
        <v>68</v>
      </c>
      <c r="I59" s="2"/>
      <c r="L59" s="17"/>
    </row>
    <row r="60" spans="1:12" s="581" customFormat="1" ht="26.25" customHeight="1" x14ac:dyDescent="0.45">
      <c r="A60" s="28" t="s">
        <v>69</v>
      </c>
      <c r="B60" s="29">
        <v>5</v>
      </c>
      <c r="C60" s="729" t="s">
        <v>70</v>
      </c>
      <c r="D60" s="732">
        <v>1766.04</v>
      </c>
      <c r="E60" s="84">
        <v>1</v>
      </c>
      <c r="F60" s="85">
        <v>44562125</v>
      </c>
      <c r="G60" s="169">
        <f>IF(ISBLANK(F60),"-",(F60/$D$50*$D$47*$B$68)*($B$57/$D$60))</f>
        <v>569.18654701383241</v>
      </c>
      <c r="H60" s="86">
        <f>IF(ISBLANK(F60),"-",G60/$B$56)</f>
        <v>0.948644245023054</v>
      </c>
      <c r="I60" s="2"/>
      <c r="L60" s="17"/>
    </row>
    <row r="61" spans="1:12" s="581" customFormat="1" ht="26.25" customHeight="1" x14ac:dyDescent="0.45">
      <c r="A61" s="28" t="s">
        <v>71</v>
      </c>
      <c r="B61" s="29">
        <v>50</v>
      </c>
      <c r="C61" s="730"/>
      <c r="D61" s="733"/>
      <c r="E61" s="87">
        <v>2</v>
      </c>
      <c r="F61" s="40">
        <v>44767672</v>
      </c>
      <c r="G61" s="170">
        <f>IF(ISBLANK(F61),"-",(F61/$D$50*$D$47*$B$68)*($B$57/$D$60))</f>
        <v>571.81197358806014</v>
      </c>
      <c r="H61" s="88">
        <f>IF(ISBLANK(F61),"-",G61/$B$56)</f>
        <v>0.95301995598010025</v>
      </c>
      <c r="I61" s="2"/>
      <c r="L61" s="17"/>
    </row>
    <row r="62" spans="1:12" s="581" customFormat="1" ht="26.25" customHeight="1" x14ac:dyDescent="0.45">
      <c r="A62" s="28" t="s">
        <v>72</v>
      </c>
      <c r="B62" s="29">
        <v>10</v>
      </c>
      <c r="C62" s="730"/>
      <c r="D62" s="733"/>
      <c r="E62" s="87">
        <v>3</v>
      </c>
      <c r="F62" s="89">
        <v>44583595</v>
      </c>
      <c r="G62" s="170">
        <f>IF(ISBLANK(F62),"-",(F62/$D$50*$D$47*$B$68)*($B$57/$D$60))</f>
        <v>569.46078068568693</v>
      </c>
      <c r="H62" s="88">
        <f>IF(ISBLANK(F62),"-",G62/$B$56)</f>
        <v>0.94910130114281155</v>
      </c>
      <c r="I62" s="2"/>
      <c r="L62" s="17"/>
    </row>
    <row r="63" spans="1:12" ht="27" customHeight="1" thickBot="1" x14ac:dyDescent="0.5">
      <c r="A63" s="28" t="s">
        <v>73</v>
      </c>
      <c r="B63" s="29">
        <v>25</v>
      </c>
      <c r="C63" s="731"/>
      <c r="D63" s="734"/>
      <c r="E63" s="90">
        <v>4</v>
      </c>
      <c r="F63" s="91"/>
      <c r="G63" s="170" t="str">
        <f>IF(ISBLANK(F63),"-",(F63/$D$50*$D$47*$B$68)*($B$57/$D$60))</f>
        <v>-</v>
      </c>
      <c r="H63" s="88" t="str">
        <f t="shared" ref="H63:H71" si="0">IF(ISBLANK(F63),"-",G63/$B$56)</f>
        <v>-</v>
      </c>
      <c r="J63" s="585"/>
      <c r="K63" s="585"/>
    </row>
    <row r="64" spans="1:12" ht="26.25" customHeight="1" x14ac:dyDescent="0.45">
      <c r="A64" s="28" t="s">
        <v>74</v>
      </c>
      <c r="B64" s="29">
        <v>1</v>
      </c>
      <c r="C64" s="729" t="s">
        <v>75</v>
      </c>
      <c r="D64" s="732">
        <v>1763.08</v>
      </c>
      <c r="E64" s="84">
        <v>1</v>
      </c>
      <c r="F64" s="85"/>
      <c r="G64" s="171" t="str">
        <f>IF(ISBLANK(F64),"-",(F64/$D$50*$D$47*$B$68)*($B$57/$D$64))</f>
        <v>-</v>
      </c>
      <c r="H64" s="92" t="str">
        <f>IF(ISBLANK(F64),"-",G64/$B$56)</f>
        <v>-</v>
      </c>
    </row>
    <row r="65" spans="1:8" ht="26.25" customHeight="1" x14ac:dyDescent="0.45">
      <c r="A65" s="28" t="s">
        <v>76</v>
      </c>
      <c r="B65" s="29">
        <v>1</v>
      </c>
      <c r="C65" s="730"/>
      <c r="D65" s="733"/>
      <c r="E65" s="87">
        <v>2</v>
      </c>
      <c r="F65" s="40"/>
      <c r="G65" s="172" t="str">
        <f>IF(ISBLANK(F65),"-",(F65/$D$50*$D$47*$B$68)*($B$57/$D$64))</f>
        <v>-</v>
      </c>
      <c r="H65" s="93" t="str">
        <f>IF(ISBLANK(F65),"-",G65/$B$56)</f>
        <v>-</v>
      </c>
    </row>
    <row r="66" spans="1:8" ht="26.25" customHeight="1" x14ac:dyDescent="0.45">
      <c r="A66" s="28" t="s">
        <v>77</v>
      </c>
      <c r="B66" s="29">
        <v>1</v>
      </c>
      <c r="C66" s="730"/>
      <c r="D66" s="733"/>
      <c r="E66" s="87">
        <v>3</v>
      </c>
      <c r="F66" s="40"/>
      <c r="G66" s="172" t="str">
        <f>IF(ISBLANK(F66),"-",(F66/$D$50*$D$47*$B$68)*($B$57/$D$64))</f>
        <v>-</v>
      </c>
      <c r="H66" s="93" t="str">
        <f>IF(ISBLANK(F66),"-",G66/$B$56)</f>
        <v>-</v>
      </c>
    </row>
    <row r="67" spans="1:8" ht="27" customHeight="1" thickBot="1" x14ac:dyDescent="0.5">
      <c r="A67" s="28" t="s">
        <v>78</v>
      </c>
      <c r="B67" s="29">
        <v>1</v>
      </c>
      <c r="C67" s="731"/>
      <c r="D67" s="734"/>
      <c r="E67" s="90">
        <v>4</v>
      </c>
      <c r="F67" s="91"/>
      <c r="G67" s="173" t="str">
        <f>IF(ISBLANK(F67),"-",(F67/$D$50*$D$47*$B$68)*($B$57/$D$64))</f>
        <v>-</v>
      </c>
      <c r="H67" s="94" t="str">
        <f t="shared" si="0"/>
        <v>-</v>
      </c>
    </row>
    <row r="68" spans="1:8" ht="26.25" customHeight="1" x14ac:dyDescent="0.5">
      <c r="A68" s="28" t="s">
        <v>79</v>
      </c>
      <c r="B68" s="95">
        <f>(B67/B66)*(B65/B64)*(B63/B62)*(B61/B60)*B59</f>
        <v>5000</v>
      </c>
      <c r="C68" s="729" t="s">
        <v>80</v>
      </c>
      <c r="D68" s="732">
        <v>1766.87</v>
      </c>
      <c r="E68" s="84">
        <v>1</v>
      </c>
      <c r="F68" s="85">
        <v>46194576</v>
      </c>
      <c r="G68" s="171">
        <f>IF(ISBLANK(F68),"-",(F68/$D$50*$D$47*$B$68)*($B$57/$D$68))</f>
        <v>589.7604685847848</v>
      </c>
      <c r="H68" s="88">
        <f t="shared" si="0"/>
        <v>0.98293411430797473</v>
      </c>
    </row>
    <row r="69" spans="1:8" ht="27" customHeight="1" x14ac:dyDescent="0.5">
      <c r="A69" s="74" t="s">
        <v>81</v>
      </c>
      <c r="B69" s="96">
        <f>(D47*B68)/B56*B57</f>
        <v>1765.5585000000003</v>
      </c>
      <c r="C69" s="730"/>
      <c r="D69" s="733"/>
      <c r="E69" s="87">
        <v>2</v>
      </c>
      <c r="F69" s="40">
        <v>46098758</v>
      </c>
      <c r="G69" s="172">
        <f>IF(ISBLANK(F69),"-",(F69/$D$50*$D$47*$B$68)*($B$57/$D$68))</f>
        <v>588.53717196704213</v>
      </c>
      <c r="H69" s="88">
        <f t="shared" si="0"/>
        <v>0.98089528661173686</v>
      </c>
    </row>
    <row r="70" spans="1:8" ht="26.25" customHeight="1" x14ac:dyDescent="0.45">
      <c r="A70" s="741" t="s">
        <v>55</v>
      </c>
      <c r="B70" s="742"/>
      <c r="C70" s="730"/>
      <c r="D70" s="733"/>
      <c r="E70" s="87">
        <v>3</v>
      </c>
      <c r="F70" s="40">
        <v>46007712</v>
      </c>
      <c r="G70" s="172">
        <f>IF(ISBLANK(F70),"-",(F70/$D$50*$D$47*$B$68)*($B$57/$D$68))</f>
        <v>587.37479888621181</v>
      </c>
      <c r="H70" s="88">
        <f t="shared" si="0"/>
        <v>0.97895799814368634</v>
      </c>
    </row>
    <row r="71" spans="1:8" ht="27" customHeight="1" x14ac:dyDescent="0.45">
      <c r="A71" s="743"/>
      <c r="B71" s="744"/>
      <c r="C71" s="740"/>
      <c r="D71" s="734"/>
      <c r="E71" s="90">
        <v>4</v>
      </c>
      <c r="F71" s="91"/>
      <c r="G71" s="173" t="str">
        <f>IF(ISBLANK(F71),"-",(F71/$D$50*$D$47*$B$68)*($B$57/$D$68))</f>
        <v>-</v>
      </c>
      <c r="H71" s="97" t="str">
        <f t="shared" si="0"/>
        <v>-</v>
      </c>
    </row>
    <row r="72" spans="1:8" ht="26.25" customHeight="1" x14ac:dyDescent="0.45">
      <c r="A72" s="98"/>
      <c r="B72" s="98"/>
      <c r="C72" s="98"/>
      <c r="D72" s="98"/>
      <c r="E72" s="98"/>
      <c r="F72" s="100" t="s">
        <v>48</v>
      </c>
      <c r="G72" s="178">
        <f>AVERAGE(G60:G71)</f>
        <v>579.35529012093627</v>
      </c>
      <c r="H72" s="101">
        <f>AVERAGE(H60:H71)</f>
        <v>0.96559215020156053</v>
      </c>
    </row>
    <row r="73" spans="1:8" ht="26.25" customHeight="1" x14ac:dyDescent="0.45">
      <c r="C73" s="98"/>
      <c r="D73" s="98"/>
      <c r="E73" s="98"/>
      <c r="F73" s="102" t="s">
        <v>61</v>
      </c>
      <c r="G73" s="174">
        <f>STDEV(G60:G71)/G72</f>
        <v>1.751915084994126E-2</v>
      </c>
      <c r="H73" s="174">
        <f>STDEV(H60:H71)/H72</f>
        <v>1.7519150849941267E-2</v>
      </c>
    </row>
    <row r="74" spans="1:8" ht="27" customHeight="1" x14ac:dyDescent="0.45">
      <c r="A74" s="98"/>
      <c r="B74" s="98"/>
      <c r="C74" s="99"/>
      <c r="D74" s="99"/>
      <c r="E74" s="103"/>
      <c r="F74" s="104" t="s">
        <v>3</v>
      </c>
      <c r="G74" s="105">
        <f>COUNT(G60:G71)</f>
        <v>6</v>
      </c>
      <c r="H74" s="105">
        <f>COUNT(H60:H71)</f>
        <v>6</v>
      </c>
    </row>
    <row r="76" spans="1:8" ht="26.25" customHeight="1" x14ac:dyDescent="0.45">
      <c r="A76" s="13" t="s">
        <v>82</v>
      </c>
      <c r="B76" s="106" t="s">
        <v>83</v>
      </c>
      <c r="C76" s="715" t="str">
        <f>B26</f>
        <v>EFAVIRENZ</v>
      </c>
      <c r="D76" s="715"/>
      <c r="E76" s="107" t="s">
        <v>84</v>
      </c>
      <c r="F76" s="107"/>
      <c r="G76" s="108">
        <f>H72</f>
        <v>0.96559215020156053</v>
      </c>
      <c r="H76" s="109"/>
    </row>
    <row r="77" spans="1:8" ht="18" x14ac:dyDescent="0.35">
      <c r="A77" s="12" t="s">
        <v>85</v>
      </c>
      <c r="B77" s="12" t="s">
        <v>86</v>
      </c>
    </row>
    <row r="78" spans="1:8" ht="18" x14ac:dyDescent="0.35">
      <c r="A78" s="12"/>
      <c r="B78" s="12"/>
    </row>
    <row r="79" spans="1:8" ht="26.25" customHeight="1" x14ac:dyDescent="0.45">
      <c r="A79" s="13" t="s">
        <v>1</v>
      </c>
      <c r="B79" s="470" t="str">
        <f>B26</f>
        <v>EFAVIRENZ</v>
      </c>
      <c r="C79" s="489"/>
    </row>
    <row r="80" spans="1:8" ht="26.25" customHeight="1" x14ac:dyDescent="0.45">
      <c r="A80" s="14" t="s">
        <v>25</v>
      </c>
      <c r="B80" s="470" t="str">
        <f>B27</f>
        <v>E15-3</v>
      </c>
      <c r="C80" s="489"/>
    </row>
    <row r="81" spans="1:12" ht="27" customHeight="1" thickBot="1" x14ac:dyDescent="0.5">
      <c r="A81" s="14" t="s">
        <v>2</v>
      </c>
      <c r="B81" s="110">
        <f>B28</f>
        <v>99.3</v>
      </c>
    </row>
    <row r="82" spans="1:12" s="581" customFormat="1" ht="27" customHeight="1" x14ac:dyDescent="0.5">
      <c r="A82" s="14" t="s">
        <v>26</v>
      </c>
      <c r="B82" s="16">
        <v>0</v>
      </c>
      <c r="C82" s="717" t="s">
        <v>27</v>
      </c>
      <c r="D82" s="718"/>
      <c r="E82" s="718"/>
      <c r="F82" s="718"/>
      <c r="G82" s="719"/>
      <c r="H82" s="489"/>
      <c r="I82" s="17"/>
      <c r="J82" s="17"/>
      <c r="K82" s="17"/>
      <c r="L82" s="17"/>
    </row>
    <row r="83" spans="1:12" s="581" customFormat="1" ht="19.5" customHeight="1" x14ac:dyDescent="0.35">
      <c r="A83" s="14" t="s">
        <v>28</v>
      </c>
      <c r="B83" s="18">
        <f>B81-B82</f>
        <v>99.3</v>
      </c>
      <c r="C83" s="19"/>
      <c r="D83" s="19"/>
      <c r="E83" s="19"/>
      <c r="F83" s="19"/>
      <c r="G83" s="20"/>
      <c r="H83" s="489"/>
      <c r="I83" s="17"/>
      <c r="J83" s="17"/>
      <c r="K83" s="17"/>
      <c r="L83" s="17"/>
    </row>
    <row r="84" spans="1:12" s="581" customFormat="1" ht="27" customHeight="1" x14ac:dyDescent="0.45">
      <c r="A84" s="14" t="s">
        <v>29</v>
      </c>
      <c r="B84" s="21">
        <v>1</v>
      </c>
      <c r="C84" s="720" t="s">
        <v>87</v>
      </c>
      <c r="D84" s="721"/>
      <c r="E84" s="721"/>
      <c r="F84" s="721"/>
      <c r="G84" s="721"/>
      <c r="H84" s="722"/>
      <c r="I84" s="17"/>
      <c r="J84" s="17"/>
      <c r="K84" s="17"/>
      <c r="L84" s="17"/>
    </row>
    <row r="85" spans="1:12" s="581" customFormat="1" ht="27" customHeight="1" x14ac:dyDescent="0.45">
      <c r="A85" s="14" t="s">
        <v>31</v>
      </c>
      <c r="B85" s="21">
        <v>1</v>
      </c>
      <c r="C85" s="720" t="s">
        <v>88</v>
      </c>
      <c r="D85" s="721"/>
      <c r="E85" s="721"/>
      <c r="F85" s="721"/>
      <c r="G85" s="721"/>
      <c r="H85" s="722"/>
      <c r="I85" s="17"/>
      <c r="J85" s="17"/>
      <c r="K85" s="17"/>
      <c r="L85" s="17"/>
    </row>
    <row r="86" spans="1:12" s="581" customFormat="1" ht="18" x14ac:dyDescent="0.35">
      <c r="A86" s="14"/>
      <c r="B86" s="23"/>
      <c r="C86" s="24"/>
      <c r="D86" s="24"/>
      <c r="E86" s="24"/>
      <c r="F86" s="24"/>
      <c r="G86" s="24"/>
      <c r="H86" s="24"/>
      <c r="I86" s="17"/>
      <c r="J86" s="17"/>
      <c r="K86" s="17"/>
      <c r="L86" s="17"/>
    </row>
    <row r="87" spans="1:12" s="581" customFormat="1" ht="18" x14ac:dyDescent="0.35">
      <c r="A87" s="14" t="s">
        <v>33</v>
      </c>
      <c r="B87" s="25">
        <f>B84/B85</f>
        <v>1</v>
      </c>
      <c r="C87" s="4" t="s">
        <v>34</v>
      </c>
      <c r="D87" s="4"/>
      <c r="E87" s="4"/>
      <c r="F87" s="4"/>
      <c r="G87" s="4"/>
      <c r="I87" s="17"/>
      <c r="J87" s="17"/>
      <c r="K87" s="17"/>
      <c r="L87" s="17"/>
    </row>
    <row r="88" spans="1:12" ht="19.5" customHeight="1" x14ac:dyDescent="0.35">
      <c r="A88" s="12"/>
      <c r="B88" s="12"/>
    </row>
    <row r="89" spans="1:12" ht="27" customHeight="1" x14ac:dyDescent="0.45">
      <c r="A89" s="26" t="s">
        <v>35</v>
      </c>
      <c r="B89" s="27">
        <v>25</v>
      </c>
      <c r="D89" s="111" t="s">
        <v>36</v>
      </c>
      <c r="E89" s="112"/>
      <c r="F89" s="723" t="s">
        <v>37</v>
      </c>
      <c r="G89" s="724"/>
    </row>
    <row r="90" spans="1:12" ht="27" customHeight="1" x14ac:dyDescent="0.45">
      <c r="A90" s="28" t="s">
        <v>38</v>
      </c>
      <c r="B90" s="29">
        <v>10</v>
      </c>
      <c r="C90" s="113" t="s">
        <v>39</v>
      </c>
      <c r="D90" s="31" t="s">
        <v>40</v>
      </c>
      <c r="E90" s="32" t="s">
        <v>41</v>
      </c>
      <c r="F90" s="31" t="s">
        <v>40</v>
      </c>
      <c r="G90" s="114" t="s">
        <v>41</v>
      </c>
      <c r="I90" s="33" t="s">
        <v>42</v>
      </c>
    </row>
    <row r="91" spans="1:12" ht="26.25" customHeight="1" x14ac:dyDescent="0.45">
      <c r="A91" s="28" t="s">
        <v>43</v>
      </c>
      <c r="B91" s="29">
        <v>20</v>
      </c>
      <c r="C91" s="115">
        <v>1</v>
      </c>
      <c r="D91" s="35">
        <v>185856098</v>
      </c>
      <c r="E91" s="36">
        <f>IF(ISBLANK(D91),"-",$D$101/$D$98*D91)</f>
        <v>203367904.92520446</v>
      </c>
      <c r="F91" s="35">
        <v>197025667</v>
      </c>
      <c r="G91" s="37">
        <f>IF(ISBLANK(F91),"-",$D$101/$F$98*F91)</f>
        <v>202808758.75592524</v>
      </c>
      <c r="I91" s="38"/>
    </row>
    <row r="92" spans="1:12" ht="26.25" customHeight="1" x14ac:dyDescent="0.45">
      <c r="A92" s="28" t="s">
        <v>44</v>
      </c>
      <c r="B92" s="29">
        <v>1</v>
      </c>
      <c r="C92" s="99">
        <v>2</v>
      </c>
      <c r="D92" s="40">
        <v>186186620</v>
      </c>
      <c r="E92" s="41">
        <f>IF(ISBLANK(D92),"-",$D$101/$D$98*D92)</f>
        <v>203729569.50008264</v>
      </c>
      <c r="F92" s="40">
        <v>193873415</v>
      </c>
      <c r="G92" s="42">
        <f>IF(ISBLANK(F92),"-",$D$101/$F$98*F92)</f>
        <v>199563981.94516644</v>
      </c>
      <c r="I92" s="739">
        <f>ABS((F96/D96*D95)-F95)/D95</f>
        <v>1.0589701234489617E-2</v>
      </c>
    </row>
    <row r="93" spans="1:12" ht="26.25" customHeight="1" x14ac:dyDescent="0.45">
      <c r="A93" s="28" t="s">
        <v>45</v>
      </c>
      <c r="B93" s="29">
        <v>1</v>
      </c>
      <c r="C93" s="99">
        <v>3</v>
      </c>
      <c r="D93" s="40">
        <v>186050291</v>
      </c>
      <c r="E93" s="41">
        <f>IF(ISBLANK(D93),"-",$D$101/$D$98*D93)</f>
        <v>203580395.25501403</v>
      </c>
      <c r="F93" s="40">
        <v>196455270</v>
      </c>
      <c r="G93" s="42">
        <f>IF(ISBLANK(F93),"-",$D$101/$F$98*F93)</f>
        <v>202221619.47945672</v>
      </c>
      <c r="I93" s="739"/>
    </row>
    <row r="94" spans="1:12" ht="27" customHeight="1" x14ac:dyDescent="0.45">
      <c r="A94" s="28" t="s">
        <v>46</v>
      </c>
      <c r="B94" s="29">
        <v>1</v>
      </c>
      <c r="C94" s="116">
        <v>4</v>
      </c>
      <c r="D94" s="45"/>
      <c r="E94" s="46" t="str">
        <f>IF(ISBLANK(D94),"-",$D$101/$D$98*D94)</f>
        <v>-</v>
      </c>
      <c r="F94" s="117"/>
      <c r="G94" s="47" t="str">
        <f>IF(ISBLANK(F94),"-",$D$101/$F$98*F94)</f>
        <v>-</v>
      </c>
      <c r="I94" s="48"/>
    </row>
    <row r="95" spans="1:12" ht="27" customHeight="1" x14ac:dyDescent="0.45">
      <c r="A95" s="28" t="s">
        <v>47</v>
      </c>
      <c r="B95" s="29">
        <v>1</v>
      </c>
      <c r="C95" s="118" t="s">
        <v>48</v>
      </c>
      <c r="D95" s="119">
        <f>AVERAGE(D91:D94)</f>
        <v>186031003</v>
      </c>
      <c r="E95" s="51">
        <f>AVERAGE(E91:E94)</f>
        <v>203559289.89343372</v>
      </c>
      <c r="F95" s="120">
        <f>AVERAGE(F91:F94)</f>
        <v>195784784</v>
      </c>
      <c r="G95" s="121">
        <f>AVERAGE(G91:G94)</f>
        <v>201531453.39351615</v>
      </c>
    </row>
    <row r="96" spans="1:12" ht="26.25" customHeight="1" x14ac:dyDescent="0.45">
      <c r="A96" s="28" t="s">
        <v>49</v>
      </c>
      <c r="B96" s="15">
        <v>1</v>
      </c>
      <c r="C96" s="122" t="s">
        <v>89</v>
      </c>
      <c r="D96" s="123">
        <f>F43</f>
        <v>27.61</v>
      </c>
      <c r="E96" s="43"/>
      <c r="F96" s="54">
        <f>D43</f>
        <v>29.35</v>
      </c>
    </row>
    <row r="97" spans="1:10" ht="26.25" customHeight="1" x14ac:dyDescent="0.45">
      <c r="A97" s="28" t="s">
        <v>51</v>
      </c>
      <c r="B97" s="15">
        <v>1</v>
      </c>
      <c r="C97" s="124" t="s">
        <v>90</v>
      </c>
      <c r="D97" s="125">
        <f>D96*$B$87</f>
        <v>27.61</v>
      </c>
      <c r="E97" s="57"/>
      <c r="F97" s="56">
        <f>F96*$B$87</f>
        <v>29.35</v>
      </c>
    </row>
    <row r="98" spans="1:10" ht="19.5" customHeight="1" x14ac:dyDescent="0.35">
      <c r="A98" s="28" t="s">
        <v>53</v>
      </c>
      <c r="B98" s="126">
        <f>(B97/B96)*(B95/B94)*(B93/B92)*(B91/B90)*B89</f>
        <v>50</v>
      </c>
      <c r="C98" s="124" t="s">
        <v>91</v>
      </c>
      <c r="D98" s="127">
        <f>D97*$B$83/100</f>
        <v>27.416729999999998</v>
      </c>
      <c r="E98" s="60"/>
      <c r="F98" s="59">
        <f>F97*$B$83/100</f>
        <v>29.144549999999999</v>
      </c>
    </row>
    <row r="99" spans="1:10" ht="19.5" customHeight="1" x14ac:dyDescent="0.35">
      <c r="A99" s="725" t="s">
        <v>55</v>
      </c>
      <c r="B99" s="726"/>
      <c r="C99" s="124" t="s">
        <v>56</v>
      </c>
      <c r="D99" s="128">
        <f>D98/$B$98</f>
        <v>0.54833460000000001</v>
      </c>
      <c r="E99" s="60"/>
      <c r="F99" s="63">
        <f>F98/$B$98</f>
        <v>0.58289099999999994</v>
      </c>
      <c r="G99" s="129"/>
      <c r="H99" s="52"/>
    </row>
    <row r="100" spans="1:10" ht="19.5" customHeight="1" x14ac:dyDescent="0.35">
      <c r="A100" s="727"/>
      <c r="B100" s="728"/>
      <c r="C100" s="124" t="s">
        <v>57</v>
      </c>
      <c r="D100" s="130">
        <f>$B$56/$B$116</f>
        <v>0.6</v>
      </c>
      <c r="F100" s="68"/>
      <c r="G100" s="131"/>
      <c r="H100" s="52"/>
    </row>
    <row r="101" spans="1:10" ht="18" x14ac:dyDescent="0.35">
      <c r="C101" s="124" t="s">
        <v>58</v>
      </c>
      <c r="D101" s="125">
        <f>D100*$B$98</f>
        <v>30</v>
      </c>
      <c r="F101" s="68"/>
      <c r="G101" s="129"/>
      <c r="H101" s="52"/>
    </row>
    <row r="102" spans="1:10" ht="19.5" customHeight="1" x14ac:dyDescent="0.35">
      <c r="A102" s="1">
        <f>(10/25*20)</f>
        <v>8</v>
      </c>
      <c r="C102" s="132" t="s">
        <v>59</v>
      </c>
      <c r="D102" s="133">
        <f>D101/B34</f>
        <v>30</v>
      </c>
      <c r="E102" s="1" t="s">
        <v>132</v>
      </c>
      <c r="F102" s="72"/>
      <c r="G102" s="129"/>
      <c r="H102" s="52"/>
      <c r="J102" s="134"/>
    </row>
    <row r="103" spans="1:10" ht="18" x14ac:dyDescent="0.35">
      <c r="C103" s="135" t="s">
        <v>93</v>
      </c>
      <c r="D103" s="136">
        <f>AVERAGE(E91:E94,G91:G94)</f>
        <v>202545371.64347494</v>
      </c>
      <c r="F103" s="680">
        <f>D108/D103*D100*B116/B56</f>
        <v>0.88743091753481962</v>
      </c>
      <c r="G103" s="137"/>
      <c r="H103" s="52"/>
      <c r="J103" s="138"/>
    </row>
    <row r="104" spans="1:10" ht="18" x14ac:dyDescent="0.35">
      <c r="C104" s="102" t="s">
        <v>61</v>
      </c>
      <c r="D104" s="139">
        <f>STDEV(E91:E94,G91:G94)/D103</f>
        <v>7.716216872338518E-3</v>
      </c>
      <c r="F104" s="72"/>
      <c r="G104" s="129"/>
      <c r="H104" s="52"/>
      <c r="J104" s="138"/>
    </row>
    <row r="105" spans="1:10" ht="19.5" customHeight="1" x14ac:dyDescent="0.35">
      <c r="C105" s="104" t="s">
        <v>3</v>
      </c>
      <c r="D105" s="140">
        <f>COUNT(E91:E94,G91:G94)</f>
        <v>6</v>
      </c>
      <c r="F105" s="72"/>
      <c r="G105" s="129"/>
      <c r="H105" s="52"/>
      <c r="J105" s="138"/>
    </row>
    <row r="106" spans="1:10" ht="19.5" customHeight="1" x14ac:dyDescent="0.35">
      <c r="A106" s="76"/>
      <c r="B106" s="76"/>
      <c r="C106" s="76"/>
      <c r="D106" s="76"/>
      <c r="E106" s="76"/>
    </row>
    <row r="107" spans="1:10" ht="26.25" customHeight="1" x14ac:dyDescent="0.45">
      <c r="A107" s="26" t="s">
        <v>94</v>
      </c>
      <c r="B107" s="27">
        <v>1000</v>
      </c>
      <c r="C107" s="141" t="s">
        <v>121</v>
      </c>
      <c r="D107" s="142" t="s">
        <v>40</v>
      </c>
      <c r="E107" s="143" t="s">
        <v>95</v>
      </c>
      <c r="F107" s="144" t="s">
        <v>96</v>
      </c>
    </row>
    <row r="108" spans="1:10" ht="26.25" customHeight="1" x14ac:dyDescent="0.45">
      <c r="A108" s="28" t="s">
        <v>97</v>
      </c>
      <c r="B108" s="29">
        <v>1</v>
      </c>
      <c r="C108" s="145">
        <v>1</v>
      </c>
      <c r="D108" s="146">
        <v>179745025</v>
      </c>
      <c r="E108" s="175">
        <f t="shared" ref="E108:E113" si="1">IF(ISBLANK(D108),"-",D108/$D$103*$D$100*$B$116)</f>
        <v>532.45855052089178</v>
      </c>
      <c r="F108" s="147">
        <f t="shared" ref="F108:F113" si="2">IF(ISBLANK(D108), "-", E108/$B$56)</f>
        <v>0.88743091753481962</v>
      </c>
    </row>
    <row r="109" spans="1:10" ht="26.25" customHeight="1" x14ac:dyDescent="0.45">
      <c r="A109" s="28" t="s">
        <v>71</v>
      </c>
      <c r="B109" s="29">
        <v>1</v>
      </c>
      <c r="C109" s="145">
        <v>2</v>
      </c>
      <c r="D109" s="146">
        <v>201399365</v>
      </c>
      <c r="E109" s="176">
        <f t="shared" si="1"/>
        <v>596.60518539374334</v>
      </c>
      <c r="F109" s="148">
        <f t="shared" si="2"/>
        <v>0.99434197565623894</v>
      </c>
    </row>
    <row r="110" spans="1:10" ht="26.25" customHeight="1" x14ac:dyDescent="0.45">
      <c r="A110" s="28" t="s">
        <v>72</v>
      </c>
      <c r="B110" s="29">
        <v>1</v>
      </c>
      <c r="C110" s="145">
        <v>3</v>
      </c>
      <c r="D110" s="146">
        <v>196648151</v>
      </c>
      <c r="E110" s="176">
        <f t="shared" si="1"/>
        <v>582.53066778384243</v>
      </c>
      <c r="F110" s="148">
        <f t="shared" si="2"/>
        <v>0.97088444630640403</v>
      </c>
    </row>
    <row r="111" spans="1:10" ht="26.25" customHeight="1" x14ac:dyDescent="0.45">
      <c r="A111" s="28" t="s">
        <v>73</v>
      </c>
      <c r="B111" s="29">
        <v>1</v>
      </c>
      <c r="C111" s="145">
        <v>4</v>
      </c>
      <c r="D111" s="146">
        <v>195227590</v>
      </c>
      <c r="E111" s="176">
        <f t="shared" si="1"/>
        <v>578.3225410165702</v>
      </c>
      <c r="F111" s="148">
        <f t="shared" si="2"/>
        <v>0.96387090169428369</v>
      </c>
    </row>
    <row r="112" spans="1:10" ht="26.25" customHeight="1" x14ac:dyDescent="0.45">
      <c r="A112" s="28" t="s">
        <v>74</v>
      </c>
      <c r="B112" s="29">
        <v>1</v>
      </c>
      <c r="C112" s="145">
        <v>5</v>
      </c>
      <c r="D112" s="146">
        <v>201181459</v>
      </c>
      <c r="E112" s="176">
        <f t="shared" si="1"/>
        <v>595.95968261607356</v>
      </c>
      <c r="F112" s="148">
        <f t="shared" si="2"/>
        <v>0.99326613769345595</v>
      </c>
    </row>
    <row r="113" spans="1:10" ht="26.25" customHeight="1" x14ac:dyDescent="0.45">
      <c r="A113" s="28" t="s">
        <v>76</v>
      </c>
      <c r="B113" s="29">
        <v>1</v>
      </c>
      <c r="C113" s="149">
        <v>6</v>
      </c>
      <c r="D113" s="150">
        <v>199870728</v>
      </c>
      <c r="E113" s="177">
        <f t="shared" si="1"/>
        <v>592.07690517406763</v>
      </c>
      <c r="F113" s="151">
        <f t="shared" si="2"/>
        <v>0.98679484195677936</v>
      </c>
    </row>
    <row r="114" spans="1:10" ht="26.25" customHeight="1" x14ac:dyDescent="0.45">
      <c r="A114" s="28" t="s">
        <v>77</v>
      </c>
      <c r="B114" s="29">
        <v>1</v>
      </c>
      <c r="C114" s="145"/>
      <c r="D114" s="99"/>
      <c r="E114" s="3"/>
      <c r="F114" s="152"/>
    </row>
    <row r="115" spans="1:10" ht="26.25" customHeight="1" x14ac:dyDescent="0.45">
      <c r="A115" s="28" t="s">
        <v>78</v>
      </c>
      <c r="B115" s="29">
        <v>1</v>
      </c>
      <c r="C115" s="145"/>
      <c r="D115" s="701" t="s">
        <v>48</v>
      </c>
      <c r="E115" s="179">
        <f>AVERAGE(E108:E113)</f>
        <v>579.65892208419814</v>
      </c>
      <c r="F115" s="153">
        <f>AVERAGE(F108:F113)</f>
        <v>0.96609820347366371</v>
      </c>
    </row>
    <row r="116" spans="1:10" ht="27" customHeight="1" x14ac:dyDescent="0.45">
      <c r="A116" s="28" t="s">
        <v>79</v>
      </c>
      <c r="B116" s="58">
        <f>(B115/B114)*(B113/B112)*(B111/B110)*(B109/B108)*B107</f>
        <v>1000</v>
      </c>
      <c r="C116" s="154"/>
      <c r="D116" s="702" t="s">
        <v>61</v>
      </c>
      <c r="E116" s="155">
        <f>STDEV(E108:E113)/E115</f>
        <v>4.1868314736075038E-2</v>
      </c>
      <c r="F116" s="155">
        <f>STDEV(F108:F113)/F115</f>
        <v>4.1868314736075031E-2</v>
      </c>
      <c r="I116" s="3"/>
    </row>
    <row r="117" spans="1:10" ht="27" customHeight="1" x14ac:dyDescent="0.45">
      <c r="A117" s="725" t="s">
        <v>55</v>
      </c>
      <c r="B117" s="737"/>
      <c r="C117" s="156"/>
      <c r="D117" s="700" t="s">
        <v>3</v>
      </c>
      <c r="E117" s="157">
        <f>COUNT(E108:E113)</f>
        <v>6</v>
      </c>
      <c r="F117" s="157">
        <f>COUNT(F108:F113)</f>
        <v>6</v>
      </c>
      <c r="I117" s="3"/>
      <c r="J117" s="138"/>
    </row>
    <row r="118" spans="1:10" ht="19.5" customHeight="1" x14ac:dyDescent="0.35">
      <c r="A118" s="727"/>
      <c r="B118" s="738"/>
      <c r="C118" s="3"/>
      <c r="D118" s="3"/>
      <c r="E118" s="3"/>
      <c r="F118" s="99"/>
      <c r="G118" s="3"/>
      <c r="H118" s="3"/>
      <c r="I118" s="3"/>
    </row>
    <row r="119" spans="1:10" ht="18" x14ac:dyDescent="0.35">
      <c r="A119" s="166"/>
      <c r="B119" s="24"/>
      <c r="C119" s="3"/>
      <c r="D119" s="3"/>
      <c r="E119" s="3"/>
      <c r="F119" s="99"/>
      <c r="G119" s="3"/>
      <c r="H119" s="3"/>
      <c r="I119" s="3"/>
    </row>
    <row r="120" spans="1:10" ht="26.25" customHeight="1" x14ac:dyDescent="0.45">
      <c r="A120" s="13" t="s">
        <v>82</v>
      </c>
      <c r="B120" s="106" t="s">
        <v>98</v>
      </c>
      <c r="C120" s="715" t="str">
        <f>B79</f>
        <v>EFAVIRENZ</v>
      </c>
      <c r="D120" s="715"/>
      <c r="E120" s="107" t="s">
        <v>99</v>
      </c>
      <c r="F120" s="107"/>
      <c r="G120" s="108">
        <f>F115</f>
        <v>0.96609820347366371</v>
      </c>
      <c r="H120" s="3"/>
      <c r="I120" s="3"/>
    </row>
    <row r="121" spans="1:10" ht="19.5" customHeight="1" x14ac:dyDescent="0.35">
      <c r="A121" s="158"/>
      <c r="B121" s="158"/>
      <c r="C121" s="159"/>
      <c r="D121" s="159"/>
      <c r="E121" s="159"/>
      <c r="F121" s="159"/>
      <c r="G121" s="159"/>
      <c r="H121" s="159"/>
    </row>
    <row r="122" spans="1:10" ht="18" x14ac:dyDescent="0.35">
      <c r="B122" s="716" t="s">
        <v>4</v>
      </c>
      <c r="C122" s="716"/>
      <c r="E122" s="113" t="s">
        <v>5</v>
      </c>
      <c r="F122" s="160"/>
      <c r="G122" s="716" t="s">
        <v>6</v>
      </c>
      <c r="H122" s="716"/>
    </row>
    <row r="123" spans="1:10" ht="69.900000000000006" customHeight="1" x14ac:dyDescent="0.35">
      <c r="A123" s="161" t="s">
        <v>7</v>
      </c>
      <c r="B123" s="162"/>
      <c r="C123" s="162"/>
      <c r="E123" s="162"/>
      <c r="F123" s="3"/>
      <c r="G123" s="163"/>
      <c r="H123" s="163"/>
    </row>
    <row r="124" spans="1:10" ht="69.900000000000006" customHeight="1" x14ac:dyDescent="0.35">
      <c r="A124" s="161" t="s">
        <v>8</v>
      </c>
      <c r="B124" s="164"/>
      <c r="C124" s="164"/>
      <c r="E124" s="164"/>
      <c r="F124" s="3"/>
      <c r="G124" s="165"/>
      <c r="H124" s="165"/>
    </row>
    <row r="125" spans="1:10" ht="18" x14ac:dyDescent="0.35">
      <c r="A125" s="98"/>
      <c r="B125" s="98"/>
      <c r="C125" s="99"/>
      <c r="D125" s="99"/>
      <c r="E125" s="99"/>
      <c r="F125" s="103"/>
      <c r="G125" s="99"/>
      <c r="H125" s="99"/>
      <c r="I125" s="3"/>
    </row>
    <row r="126" spans="1:10" ht="18" x14ac:dyDescent="0.35">
      <c r="A126" s="98"/>
      <c r="B126" s="98"/>
      <c r="C126" s="99"/>
      <c r="D126" s="99"/>
      <c r="E126" s="99"/>
      <c r="F126" s="103"/>
      <c r="G126" s="99"/>
      <c r="H126" s="99"/>
      <c r="I126" s="3"/>
    </row>
    <row r="127" spans="1:10" ht="18" x14ac:dyDescent="0.35">
      <c r="A127" s="98"/>
      <c r="B127" s="98"/>
      <c r="C127" s="99"/>
      <c r="D127" s="99"/>
      <c r="E127" s="99"/>
      <c r="F127" s="103"/>
      <c r="G127" s="99"/>
      <c r="H127" s="99"/>
      <c r="I127" s="3"/>
    </row>
    <row r="128" spans="1:10" ht="18" x14ac:dyDescent="0.35">
      <c r="A128" s="98"/>
      <c r="B128" s="98"/>
      <c r="C128" s="99"/>
      <c r="D128" s="99"/>
      <c r="E128" s="99"/>
      <c r="F128" s="103"/>
      <c r="G128" s="99"/>
      <c r="H128" s="99"/>
      <c r="I128" s="3"/>
    </row>
    <row r="129" spans="1:9" ht="18" x14ac:dyDescent="0.35">
      <c r="A129" s="98"/>
      <c r="B129" s="98"/>
      <c r="C129" s="99"/>
      <c r="D129" s="99"/>
      <c r="E129" s="99"/>
      <c r="F129" s="103"/>
      <c r="G129" s="99"/>
      <c r="H129" s="99"/>
      <c r="I129" s="3"/>
    </row>
    <row r="130" spans="1:9" ht="18" x14ac:dyDescent="0.35">
      <c r="A130" s="98"/>
      <c r="B130" s="98"/>
      <c r="C130" s="99"/>
      <c r="D130" s="99"/>
      <c r="E130" s="99"/>
      <c r="F130" s="103"/>
      <c r="G130" s="99"/>
      <c r="H130" s="99"/>
      <c r="I130" s="3"/>
    </row>
    <row r="131" spans="1:9" ht="18" x14ac:dyDescent="0.35">
      <c r="A131" s="98"/>
      <c r="B131" s="98"/>
      <c r="C131" s="99"/>
      <c r="D131" s="99"/>
      <c r="E131" s="99"/>
      <c r="F131" s="103"/>
      <c r="G131" s="99"/>
      <c r="H131" s="99"/>
      <c r="I131" s="3"/>
    </row>
    <row r="132" spans="1:9" ht="18" x14ac:dyDescent="0.35">
      <c r="A132" s="98"/>
      <c r="B132" s="98"/>
      <c r="C132" s="99"/>
      <c r="D132" s="99"/>
      <c r="E132" s="99"/>
      <c r="F132" s="103"/>
      <c r="G132" s="99"/>
      <c r="H132" s="99"/>
      <c r="I132" s="3"/>
    </row>
    <row r="133" spans="1:9" ht="18" x14ac:dyDescent="0.35">
      <c r="A133" s="98"/>
      <c r="B133" s="98"/>
      <c r="C133" s="99"/>
      <c r="D133" s="99"/>
      <c r="E133" s="99"/>
      <c r="F133" s="103"/>
      <c r="G133" s="99"/>
      <c r="H133" s="99"/>
      <c r="I133" s="3"/>
    </row>
    <row r="250" spans="1:1" x14ac:dyDescent="0.3">
      <c r="A250" s="1">
        <v>5</v>
      </c>
    </row>
  </sheetData>
  <sheetProtection formatColumns="0" formatRows="0" insertColumns="0" insertHyperlinks="0" deleteColumns="0" deleteRows="0" autoFilter="0" pivotTables="0"/>
  <mergeCells count="29">
    <mergeCell ref="A16:H16"/>
    <mergeCell ref="A17:H17"/>
    <mergeCell ref="C29:G29"/>
    <mergeCell ref="C31:H31"/>
    <mergeCell ref="C32:H32"/>
    <mergeCell ref="C64:C67"/>
    <mergeCell ref="D64:D67"/>
    <mergeCell ref="A1:I7"/>
    <mergeCell ref="A8:I14"/>
    <mergeCell ref="A117:B118"/>
    <mergeCell ref="I92:I93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C120:D120"/>
    <mergeCell ref="B122:C122"/>
    <mergeCell ref="G122:H122"/>
    <mergeCell ref="C82:G82"/>
    <mergeCell ref="C84:H84"/>
    <mergeCell ref="C85:H85"/>
    <mergeCell ref="F89:G89"/>
    <mergeCell ref="A99:B10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rintOptions horizontalCentered="1" verticalCentered="1"/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SST 3TC</vt:lpstr>
      <vt:lpstr>SST TDF</vt:lpstr>
      <vt:lpstr>SST EFV</vt:lpstr>
      <vt:lpstr>Uniformity </vt:lpstr>
      <vt:lpstr>3TC</vt:lpstr>
      <vt:lpstr>TDF</vt:lpstr>
      <vt:lpstr>EFV</vt:lpstr>
      <vt:lpstr>'3TC'!Print_Area</vt:lpstr>
      <vt:lpstr>EFV!Print_Area</vt:lpstr>
      <vt:lpstr>'SST 3TC'!Print_Area</vt:lpstr>
      <vt:lpstr>'SST EFV'!Print_Area</vt:lpstr>
      <vt:lpstr>'SST TDF'!Print_Area</vt:lpstr>
      <vt:lpstr>TDF!Print_Area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2016-05-23T09:38:21Z</cp:lastPrinted>
  <dcterms:created xsi:type="dcterms:W3CDTF">2005-07-05T10:19:27Z</dcterms:created>
  <dcterms:modified xsi:type="dcterms:W3CDTF">2016-05-23T09:43:55Z</dcterms:modified>
</cp:coreProperties>
</file>