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5"/>
  </bookViews>
  <sheets>
    <sheet name="SST 3TC" sheetId="10" r:id="rId1"/>
    <sheet name="SST TDF" sheetId="12" r:id="rId2"/>
    <sheet name="SST EFV" sheetId="11" r:id="rId3"/>
    <sheet name="Uniformity " sheetId="14" r:id="rId4"/>
    <sheet name="3TC" sheetId="5" r:id="rId5"/>
    <sheet name="TDF" sheetId="4" r:id="rId6"/>
    <sheet name="EFV" sheetId="3" r:id="rId7"/>
  </sheets>
  <definedNames>
    <definedName name="_xlnm.Print_Area" localSheetId="4">'3TC'!$A$1:$I$168</definedName>
    <definedName name="_xlnm.Print_Area" localSheetId="6">EFV!$A$1:$I$171</definedName>
    <definedName name="_xlnm.Print_Area" localSheetId="0">'SST 3TC'!$A$1:$E$73</definedName>
    <definedName name="_xlnm.Print_Area" localSheetId="2">'SST EFV'!$A$1:$E$73</definedName>
    <definedName name="_xlnm.Print_Area" localSheetId="1">'SST TDF'!$A$1:$E$72</definedName>
    <definedName name="_xlnm.Print_Area" localSheetId="5">TDF!$A$1:$I$171</definedName>
  </definedNames>
  <calcPr calcId="145621"/>
</workbook>
</file>

<file path=xl/calcChain.xml><?xml version="1.0" encoding="utf-8"?>
<calcChain xmlns="http://schemas.openxmlformats.org/spreadsheetml/2006/main">
  <c r="F166" i="4" l="1"/>
  <c r="D97" i="3" l="1"/>
  <c r="B166" i="3"/>
  <c r="B152" i="3"/>
  <c r="B134" i="3"/>
  <c r="F131" i="3"/>
  <c r="D131" i="3"/>
  <c r="G130" i="3"/>
  <c r="E130" i="3"/>
  <c r="B80" i="3"/>
  <c r="B81" i="3"/>
  <c r="B82" i="3"/>
  <c r="B84" i="3"/>
  <c r="B88" i="3"/>
  <c r="F133" i="3" s="1"/>
  <c r="B166" i="4"/>
  <c r="B162" i="5"/>
  <c r="E144" i="5"/>
  <c r="G130" i="4"/>
  <c r="E130" i="4"/>
  <c r="E162" i="5"/>
  <c r="B161" i="5"/>
  <c r="B160" i="5"/>
  <c r="B159" i="5"/>
  <c r="F116" i="5"/>
  <c r="E145" i="5"/>
  <c r="F145" i="5" s="1"/>
  <c r="E146" i="5"/>
  <c r="E147" i="5"/>
  <c r="F147" i="5" s="1"/>
  <c r="E148" i="5"/>
  <c r="E149" i="5"/>
  <c r="F144" i="5"/>
  <c r="G128" i="5"/>
  <c r="G129" i="5"/>
  <c r="G130" i="5"/>
  <c r="G127" i="5"/>
  <c r="E128" i="5"/>
  <c r="E129" i="5"/>
  <c r="E130" i="5"/>
  <c r="E127" i="5"/>
  <c r="D135" i="5"/>
  <c r="D134" i="5"/>
  <c r="F134" i="5"/>
  <c r="B152" i="4"/>
  <c r="B134" i="4"/>
  <c r="F131" i="4"/>
  <c r="D131" i="4"/>
  <c r="B152" i="5"/>
  <c r="F149" i="5"/>
  <c r="F148" i="5"/>
  <c r="F146" i="5"/>
  <c r="D137" i="5"/>
  <c r="D138" i="5" s="1"/>
  <c r="D136" i="5"/>
  <c r="B134" i="5"/>
  <c r="F133" i="5"/>
  <c r="F135" i="5" s="1"/>
  <c r="D133" i="5"/>
  <c r="F131" i="5"/>
  <c r="D131" i="5"/>
  <c r="C17" i="12"/>
  <c r="B52" i="11"/>
  <c r="B51" i="12"/>
  <c r="B50" i="12"/>
  <c r="B52" i="10"/>
  <c r="B17" i="10"/>
  <c r="B63" i="11"/>
  <c r="E61" i="11"/>
  <c r="D61" i="11"/>
  <c r="C61" i="11"/>
  <c r="B61" i="11"/>
  <c r="B62" i="11" s="1"/>
  <c r="B62" i="12"/>
  <c r="E60" i="12"/>
  <c r="D60" i="12"/>
  <c r="C60" i="12"/>
  <c r="B60" i="12"/>
  <c r="B61" i="12" s="1"/>
  <c r="B63" i="10"/>
  <c r="E61" i="10"/>
  <c r="D61" i="10"/>
  <c r="C61" i="10"/>
  <c r="B61" i="10"/>
  <c r="B62" i="10" s="1"/>
  <c r="D133" i="3" l="1"/>
  <c r="D134" i="3" s="1"/>
  <c r="F134" i="3"/>
  <c r="F135" i="3" s="1"/>
  <c r="D135" i="3"/>
  <c r="F151" i="5"/>
  <c r="F152" i="5" s="1"/>
  <c r="F153" i="5"/>
  <c r="E153" i="5"/>
  <c r="E151" i="5"/>
  <c r="E152" i="5" s="1"/>
  <c r="D139" i="5"/>
  <c r="G131" i="5"/>
  <c r="D140" i="5"/>
  <c r="E131" i="5"/>
  <c r="D141" i="5"/>
  <c r="F97" i="3"/>
  <c r="F97" i="4"/>
  <c r="B8" i="12"/>
  <c r="B28" i="10" l="1"/>
  <c r="B50" i="10" s="1"/>
  <c r="B27" i="10"/>
  <c r="B49" i="10" s="1"/>
  <c r="B26" i="11"/>
  <c r="B26" i="12"/>
  <c r="B48" i="12" s="1"/>
  <c r="C76" i="3" l="1"/>
  <c r="C76" i="5"/>
  <c r="C121" i="5"/>
  <c r="C76" i="4"/>
  <c r="C121" i="3"/>
  <c r="C156" i="3" s="1"/>
  <c r="A103" i="3"/>
  <c r="B99" i="3"/>
  <c r="D49" i="5"/>
  <c r="D48" i="5"/>
  <c r="D42" i="5"/>
  <c r="B45" i="5"/>
  <c r="B38" i="12"/>
  <c r="B38" i="11"/>
  <c r="B29" i="11"/>
  <c r="B17" i="11"/>
  <c r="B18" i="11" s="1"/>
  <c r="B8" i="11"/>
  <c r="B39" i="10"/>
  <c r="B40" i="10" s="1"/>
  <c r="B30" i="10"/>
  <c r="B8" i="10"/>
  <c r="C44" i="14"/>
  <c r="D47" i="14" s="1"/>
  <c r="C43" i="14"/>
  <c r="B57" i="5" l="1"/>
  <c r="D27" i="14"/>
  <c r="C48" i="14"/>
  <c r="D21" i="14"/>
  <c r="D39" i="14"/>
  <c r="D26" i="14"/>
  <c r="D25" i="14"/>
  <c r="D40" i="14"/>
  <c r="D32" i="14"/>
  <c r="D31" i="14"/>
  <c r="D23" i="14"/>
  <c r="D38" i="14"/>
  <c r="D30" i="14"/>
  <c r="D22" i="14"/>
  <c r="D37" i="14"/>
  <c r="D29" i="14"/>
  <c r="B57" i="3"/>
  <c r="D36" i="14"/>
  <c r="D28" i="14"/>
  <c r="B57" i="4"/>
  <c r="D35" i="14"/>
  <c r="D34" i="14"/>
  <c r="D33" i="14"/>
  <c r="D24" i="14"/>
  <c r="B47" i="14"/>
  <c r="C47" i="14"/>
  <c r="D48" i="14"/>
  <c r="B40" i="12" l="1"/>
  <c r="E38" i="12"/>
  <c r="D38" i="12"/>
  <c r="C38" i="12"/>
  <c r="B39" i="12"/>
  <c r="B29" i="12"/>
  <c r="B19" i="12"/>
  <c r="E17" i="12"/>
  <c r="D17" i="12"/>
  <c r="B17" i="12"/>
  <c r="B18" i="12" s="1"/>
  <c r="B40" i="11"/>
  <c r="E38" i="11"/>
  <c r="D38" i="11"/>
  <c r="C38" i="11"/>
  <c r="B39" i="11"/>
  <c r="B19" i="11"/>
  <c r="E17" i="11"/>
  <c r="D17" i="11"/>
  <c r="C17" i="11"/>
  <c r="C17" i="10"/>
  <c r="D17" i="10"/>
  <c r="E17" i="10"/>
  <c r="B18" i="10"/>
  <c r="B19" i="10"/>
  <c r="C39" i="10"/>
  <c r="D39" i="10"/>
  <c r="E39" i="10"/>
  <c r="B41" i="10"/>
  <c r="B117" i="5" l="1"/>
  <c r="D101" i="5" s="1"/>
  <c r="B99" i="5"/>
  <c r="F96" i="5"/>
  <c r="D96" i="5"/>
  <c r="B88" i="5"/>
  <c r="D98" i="5" s="1"/>
  <c r="B84" i="5"/>
  <c r="B82" i="5"/>
  <c r="B81" i="5"/>
  <c r="B80" i="5"/>
  <c r="B68" i="5"/>
  <c r="C56" i="5"/>
  <c r="B55" i="5"/>
  <c r="F42" i="5"/>
  <c r="B34" i="5"/>
  <c r="B30" i="5"/>
  <c r="B117" i="4"/>
  <c r="B99" i="4"/>
  <c r="F96" i="4"/>
  <c r="D96" i="4"/>
  <c r="B88" i="4"/>
  <c r="B82" i="4"/>
  <c r="B84" i="4" s="1"/>
  <c r="B81" i="4"/>
  <c r="B80" i="4"/>
  <c r="C121" i="4" s="1"/>
  <c r="C156" i="4" s="1"/>
  <c r="B68" i="4"/>
  <c r="C56" i="4"/>
  <c r="B55" i="4"/>
  <c r="B45" i="4"/>
  <c r="D48" i="4" s="1"/>
  <c r="F42" i="4"/>
  <c r="D42" i="4"/>
  <c r="B34" i="4"/>
  <c r="F44" i="4" s="1"/>
  <c r="B30" i="4"/>
  <c r="B117" i="3"/>
  <c r="F96" i="3"/>
  <c r="D96" i="3"/>
  <c r="D98" i="3"/>
  <c r="D99" i="3" s="1"/>
  <c r="D100" i="3" s="1"/>
  <c r="B68" i="3"/>
  <c r="C56" i="3"/>
  <c r="B55" i="3"/>
  <c r="B45" i="3"/>
  <c r="D48" i="3" s="1"/>
  <c r="F42" i="3"/>
  <c r="D42" i="3"/>
  <c r="B34" i="3"/>
  <c r="F44" i="3" s="1"/>
  <c r="B30" i="3"/>
  <c r="D101" i="3" l="1"/>
  <c r="D102" i="3" s="1"/>
  <c r="D103" i="3" s="1"/>
  <c r="D136" i="3"/>
  <c r="D137" i="3" s="1"/>
  <c r="F45" i="4"/>
  <c r="F46" i="4" s="1"/>
  <c r="D101" i="4"/>
  <c r="D136" i="4"/>
  <c r="D137" i="4" s="1"/>
  <c r="D98" i="4"/>
  <c r="D133" i="4"/>
  <c r="D134" i="4" s="1"/>
  <c r="D135" i="4" s="1"/>
  <c r="F133" i="4"/>
  <c r="F134" i="4" s="1"/>
  <c r="F135" i="4" s="1"/>
  <c r="D102" i="5"/>
  <c r="D103" i="5" s="1"/>
  <c r="D102" i="4"/>
  <c r="E94" i="4" s="1"/>
  <c r="I93" i="5"/>
  <c r="I39" i="5"/>
  <c r="F44" i="5"/>
  <c r="F45" i="5" s="1"/>
  <c r="G40" i="5" s="1"/>
  <c r="D44" i="5"/>
  <c r="D45" i="5" s="1"/>
  <c r="D99" i="5"/>
  <c r="D100" i="5" s="1"/>
  <c r="I39" i="4"/>
  <c r="D44" i="4"/>
  <c r="D45" i="4" s="1"/>
  <c r="G41" i="4"/>
  <c r="D49" i="4"/>
  <c r="F98" i="3"/>
  <c r="F99" i="3" s="1"/>
  <c r="I93" i="3"/>
  <c r="I39" i="3"/>
  <c r="F45" i="3"/>
  <c r="G38" i="3" s="1"/>
  <c r="D44" i="3"/>
  <c r="D45" i="3" s="1"/>
  <c r="D49" i="3"/>
  <c r="G41" i="3"/>
  <c r="B69" i="3"/>
  <c r="G40" i="4"/>
  <c r="E95" i="5"/>
  <c r="D99" i="4"/>
  <c r="F98" i="4"/>
  <c r="F99" i="4" s="1"/>
  <c r="B69" i="4"/>
  <c r="I93" i="4"/>
  <c r="G39" i="4"/>
  <c r="F98" i="5"/>
  <c r="F99" i="5" s="1"/>
  <c r="G95" i="5" s="1"/>
  <c r="E129" i="3" l="1"/>
  <c r="D138" i="3"/>
  <c r="G128" i="3"/>
  <c r="E128" i="3"/>
  <c r="G127" i="3"/>
  <c r="E127" i="3"/>
  <c r="G129" i="3"/>
  <c r="G92" i="4"/>
  <c r="G127" i="4"/>
  <c r="G131" i="4" s="1"/>
  <c r="E128" i="4"/>
  <c r="E129" i="4"/>
  <c r="G129" i="4"/>
  <c r="E127" i="4"/>
  <c r="G128" i="4"/>
  <c r="D138" i="4"/>
  <c r="D103" i="4"/>
  <c r="E41" i="4"/>
  <c r="D46" i="4"/>
  <c r="D46" i="5"/>
  <c r="E38" i="5"/>
  <c r="E92" i="5"/>
  <c r="E93" i="5"/>
  <c r="E92" i="4"/>
  <c r="E41" i="5"/>
  <c r="F46" i="5"/>
  <c r="E39" i="5"/>
  <c r="G41" i="5"/>
  <c r="G38" i="5"/>
  <c r="G39" i="5"/>
  <c r="E40" i="5"/>
  <c r="E94" i="5"/>
  <c r="G38" i="4"/>
  <c r="G42" i="4" s="1"/>
  <c r="G92" i="3"/>
  <c r="E92" i="3"/>
  <c r="G94" i="3"/>
  <c r="E94" i="3"/>
  <c r="E95" i="3"/>
  <c r="E93" i="3"/>
  <c r="D46" i="3"/>
  <c r="E39" i="3"/>
  <c r="E40" i="3"/>
  <c r="E41" i="3"/>
  <c r="E38" i="3"/>
  <c r="F46" i="3"/>
  <c r="G40" i="3"/>
  <c r="G39" i="3"/>
  <c r="E93" i="4"/>
  <c r="D100" i="4"/>
  <c r="F100" i="5"/>
  <c r="G93" i="5"/>
  <c r="B69" i="5"/>
  <c r="G94" i="5"/>
  <c r="G92" i="5"/>
  <c r="F100" i="4"/>
  <c r="G94" i="4"/>
  <c r="G93" i="4"/>
  <c r="E38" i="4"/>
  <c r="E39" i="4"/>
  <c r="E40" i="4"/>
  <c r="G95" i="4"/>
  <c r="F100" i="3"/>
  <c r="G93" i="3"/>
  <c r="G95" i="3"/>
  <c r="E95" i="4"/>
  <c r="D140" i="3" l="1"/>
  <c r="D139" i="3"/>
  <c r="E131" i="3"/>
  <c r="D141" i="3"/>
  <c r="G131" i="3"/>
  <c r="D141" i="4"/>
  <c r="E131" i="4"/>
  <c r="D139" i="4"/>
  <c r="G96" i="4"/>
  <c r="D104" i="3"/>
  <c r="F104" i="3" s="1"/>
  <c r="E96" i="4"/>
  <c r="E42" i="4"/>
  <c r="D50" i="4"/>
  <c r="H55" i="4" s="1"/>
  <c r="G96" i="5"/>
  <c r="E96" i="5"/>
  <c r="D50" i="5"/>
  <c r="D51" i="5" s="1"/>
  <c r="D106" i="4"/>
  <c r="D104" i="5"/>
  <c r="E42" i="5"/>
  <c r="D52" i="5"/>
  <c r="G42" i="5"/>
  <c r="D104" i="4"/>
  <c r="E96" i="3"/>
  <c r="D106" i="3"/>
  <c r="D52" i="3"/>
  <c r="D50" i="3"/>
  <c r="E42" i="3"/>
  <c r="G42" i="3"/>
  <c r="G96" i="3"/>
  <c r="G71" i="3"/>
  <c r="H71" i="3" s="1"/>
  <c r="D52" i="4"/>
  <c r="D106" i="5"/>
  <c r="E148" i="3" l="1"/>
  <c r="F148" i="3" s="1"/>
  <c r="E147" i="3"/>
  <c r="F147" i="3" s="1"/>
  <c r="E144" i="3"/>
  <c r="E145" i="3"/>
  <c r="F145" i="3" s="1"/>
  <c r="E146" i="3"/>
  <c r="F146" i="3" s="1"/>
  <c r="E149" i="3"/>
  <c r="F149" i="3" s="1"/>
  <c r="D140" i="4"/>
  <c r="E149" i="4"/>
  <c r="F149" i="4" s="1"/>
  <c r="E145" i="4"/>
  <c r="F145" i="4" s="1"/>
  <c r="E144" i="4"/>
  <c r="E147" i="4"/>
  <c r="F147" i="4" s="1"/>
  <c r="E146" i="4"/>
  <c r="F146" i="4" s="1"/>
  <c r="E148" i="4"/>
  <c r="F148" i="4" s="1"/>
  <c r="E112" i="3"/>
  <c r="F112" i="3" s="1"/>
  <c r="G66" i="3"/>
  <c r="H66" i="3" s="1"/>
  <c r="G57" i="3"/>
  <c r="E114" i="4"/>
  <c r="F114" i="4" s="1"/>
  <c r="D105" i="4"/>
  <c r="E110" i="5"/>
  <c r="F110" i="5" s="1"/>
  <c r="E114" i="5"/>
  <c r="F114" i="5" s="1"/>
  <c r="E109" i="5"/>
  <c r="F109" i="5" s="1"/>
  <c r="D105" i="5"/>
  <c r="E113" i="5"/>
  <c r="F113" i="5" s="1"/>
  <c r="E112" i="5"/>
  <c r="F112" i="5" s="1"/>
  <c r="E111" i="5"/>
  <c r="F111" i="5" s="1"/>
  <c r="D105" i="3"/>
  <c r="G69" i="5"/>
  <c r="H69" i="5" s="1"/>
  <c r="G70" i="5"/>
  <c r="H70" i="5" s="1"/>
  <c r="G62" i="5"/>
  <c r="H62" i="5" s="1"/>
  <c r="G61" i="5"/>
  <c r="H61" i="5" s="1"/>
  <c r="G71" i="5"/>
  <c r="H71" i="5" s="1"/>
  <c r="G64" i="5"/>
  <c r="H64" i="5" s="1"/>
  <c r="G65" i="5"/>
  <c r="H65" i="5" s="1"/>
  <c r="G60" i="5"/>
  <c r="G66" i="5"/>
  <c r="H66" i="5" s="1"/>
  <c r="G68" i="5"/>
  <c r="H68" i="5" s="1"/>
  <c r="G63" i="5"/>
  <c r="H63" i="5" s="1"/>
  <c r="G67" i="5"/>
  <c r="H67" i="5" s="1"/>
  <c r="E109" i="4"/>
  <c r="F109" i="4" s="1"/>
  <c r="E110" i="4"/>
  <c r="F110" i="4" s="1"/>
  <c r="E113" i="4"/>
  <c r="F113" i="4" s="1"/>
  <c r="E112" i="4"/>
  <c r="F112" i="4" s="1"/>
  <c r="E111" i="4"/>
  <c r="F111" i="4" s="1"/>
  <c r="E113" i="3"/>
  <c r="F113" i="3" s="1"/>
  <c r="E114" i="3"/>
  <c r="F114" i="3" s="1"/>
  <c r="G60" i="3"/>
  <c r="H60" i="3" s="1"/>
  <c r="G65" i="3"/>
  <c r="H65" i="3" s="1"/>
  <c r="G67" i="3"/>
  <c r="H67" i="3" s="1"/>
  <c r="G63" i="3"/>
  <c r="H63" i="3" s="1"/>
  <c r="G68" i="3"/>
  <c r="H68" i="3" s="1"/>
  <c r="G64" i="3"/>
  <c r="H64" i="3" s="1"/>
  <c r="D51" i="3"/>
  <c r="G69" i="3"/>
  <c r="H69" i="3" s="1"/>
  <c r="G61" i="3"/>
  <c r="H61" i="3" s="1"/>
  <c r="G70" i="3"/>
  <c r="H70" i="3" s="1"/>
  <c r="G62" i="3"/>
  <c r="H62" i="3" s="1"/>
  <c r="E111" i="3"/>
  <c r="F111" i="3" s="1"/>
  <c r="E110" i="3"/>
  <c r="F110" i="3" s="1"/>
  <c r="E109" i="3"/>
  <c r="F109" i="3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8" i="4"/>
  <c r="H68" i="4" s="1"/>
  <c r="G67" i="4"/>
  <c r="H67" i="4" s="1"/>
  <c r="G63" i="4"/>
  <c r="H63" i="4" s="1"/>
  <c r="G61" i="4"/>
  <c r="H61" i="4" s="1"/>
  <c r="G65" i="4"/>
  <c r="H65" i="4" s="1"/>
  <c r="E153" i="3" l="1"/>
  <c r="F144" i="3"/>
  <c r="E151" i="3"/>
  <c r="E152" i="3" s="1"/>
  <c r="F144" i="4"/>
  <c r="E153" i="4"/>
  <c r="E151" i="4"/>
  <c r="E152" i="4" s="1"/>
  <c r="B163" i="4"/>
  <c r="B161" i="4"/>
  <c r="F117" i="4"/>
  <c r="F116" i="4"/>
  <c r="G72" i="5"/>
  <c r="G73" i="5" s="1"/>
  <c r="E116" i="5"/>
  <c r="E117" i="5" s="1"/>
  <c r="E116" i="4"/>
  <c r="E117" i="4" s="1"/>
  <c r="E118" i="5"/>
  <c r="H60" i="5"/>
  <c r="H72" i="5" s="1"/>
  <c r="G74" i="5"/>
  <c r="E118" i="4"/>
  <c r="G72" i="3"/>
  <c r="G73" i="3" s="1"/>
  <c r="G74" i="3"/>
  <c r="E116" i="3"/>
  <c r="E117" i="3" s="1"/>
  <c r="E118" i="3"/>
  <c r="F118" i="4"/>
  <c r="F118" i="3"/>
  <c r="F116" i="3"/>
  <c r="G74" i="4"/>
  <c r="H60" i="4"/>
  <c r="G72" i="4"/>
  <c r="F118" i="5"/>
  <c r="H74" i="3"/>
  <c r="H72" i="3"/>
  <c r="F151" i="3" l="1"/>
  <c r="G156" i="3" s="1"/>
  <c r="F153" i="3"/>
  <c r="B161" i="3"/>
  <c r="E166" i="3" s="1"/>
  <c r="B162" i="3"/>
  <c r="B163" i="3"/>
  <c r="B162" i="4"/>
  <c r="F153" i="4"/>
  <c r="F151" i="4"/>
  <c r="G156" i="4" s="1"/>
  <c r="H72" i="4"/>
  <c r="H73" i="4" s="1"/>
  <c r="H73" i="5"/>
  <c r="G73" i="4"/>
  <c r="H74" i="5"/>
  <c r="H74" i="4"/>
  <c r="F117" i="5"/>
  <c r="G121" i="5"/>
  <c r="G76" i="3"/>
  <c r="H73" i="3"/>
  <c r="G121" i="3"/>
  <c r="F117" i="3"/>
  <c r="G121" i="4"/>
  <c r="F152" i="3" l="1"/>
  <c r="F152" i="4"/>
  <c r="G76" i="5"/>
  <c r="G76" i="4"/>
</calcChain>
</file>

<file path=xl/sharedStrings.xml><?xml version="1.0" encoding="utf-8"?>
<sst xmlns="http://schemas.openxmlformats.org/spreadsheetml/2006/main" count="873" uniqueCount="149">
  <si>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</si>
  <si>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</si>
  <si>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</si>
  <si>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</si>
  <si>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</si>
  <si>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</si>
  <si>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</si>
  <si>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</si>
  <si>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</si>
  <si>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</si>
  <si>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</si>
  <si>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</si>
  <si>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</si>
  <si>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</si>
  <si>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</si>
  <si>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</si>
  <si>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</si>
  <si>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</si>
  <si>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</si>
  <si>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</si>
  <si>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</si>
  <si>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</si>
  <si>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</si>
  <si>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</si>
  <si>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</si>
  <si>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</si>
  <si>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</si>
  <si>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</si>
  <si>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</si>
  <si>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</si>
  <si>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</si>
  <si>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</si>
  <si>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</si>
  <si>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</si>
  <si>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</si>
  <si>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</si>
  <si>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</si>
  <si>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</si>
  <si>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</si>
  <si>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</si>
  <si>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</si>
  <si>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</si>
  <si>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</si>
  <si>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</si>
  <si>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</si>
  <si>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</si>
  <si>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</si>
  <si>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</si>
  <si>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</si>
  <si>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</si>
  <si>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</si>
  <si>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</si>
  <si>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</si>
  <si>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</si>
  <si>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</si>
  <si>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</si>
  <si>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</si>
  <si>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</si>
  <si>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</si>
  <si>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</si>
  <si>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</si>
  <si>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</si>
  <si>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</si>
  <si>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</si>
  <si>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</si>
  <si>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</si>
  <si>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</si>
  <si>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</si>
  <si>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</si>
  <si>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</si>
  <si>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</si>
  <si>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</si>
  <si>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</si>
  <si>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</si>
  <si>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</si>
  <si>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</si>
  <si>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</si>
  <si>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</si>
  <si>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</si>
  <si>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</si>
  <si>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</si>
  <si>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</si>
  <si>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</si>
  <si>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</si>
  <si>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</si>
  <si>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</si>
  <si>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</si>
  <si>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</si>
  <si>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</si>
  <si>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</si>
  <si>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</si>
  <si>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</si>
  <si>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</si>
  <si>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</si>
  <si>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</si>
  <si>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</si>
  <si>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</si>
  <si>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</si>
  <si>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</si>
  <si>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</si>
  <si>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E15-3</t>
  </si>
  <si>
    <t>T11-6</t>
  </si>
  <si>
    <t>LAMIVUDINE</t>
  </si>
  <si>
    <t>L3-9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</si>
  <si>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</si>
  <si>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</si>
  <si>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</si>
  <si>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</si>
  <si>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</si>
  <si>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</si>
  <si>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</si>
  <si>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</si>
  <si>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</si>
  <si>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</si>
  <si>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</si>
  <si>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</si>
  <si>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</si>
  <si>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</si>
  <si>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</si>
  <si>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</si>
  <si>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</si>
  <si>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Tablet No.</t>
  </si>
  <si>
    <t>EFAVIRENZ 600 mg, LAMIVUDINE 300 mg and TENOFOVIR DF 300 mg TABLETS</t>
  </si>
  <si>
    <t>Efavirenz, Lamivudine and Tenofovir Disoproxil Fumarate</t>
  </si>
  <si>
    <t>Each tablet contains Efavirenz 600 mg, Lamivudine 300 mg and Tenofovir DF 300 mg</t>
  </si>
  <si>
    <t>Tablet Weight (mg)</t>
  </si>
  <si>
    <t>EFAVIRENZ 600 mg, LAMIVUDINE 300 mg AND TENOFOVIR DISOPROXIL FUMARATE 300 mg TABLETS</t>
  </si>
  <si>
    <t>Efavirenz 600 mg, Lamivudine 300 mg and Tenofovir Disoproxil Fumarate 300 mg Tablets</t>
  </si>
  <si>
    <t>Efavirenz 600 mg, Lamivudine 300 mg and Tenofovir Disoproxil Fumarate 300 mg</t>
  </si>
  <si>
    <t>Each film-coated tablet contains Efavirenz 600 mg, Lamivudine USP 300 mg, Tenofovir Disoproxil Fumarate 300mg equivalent to tenofovir disoproxil 245 mg</t>
  </si>
  <si>
    <t>Each film-coated tablet contains Efavirenz 600 mg, Lamivudine USP 300 mg, Tenofovir Disoproxil Fumarate 300 mg equivalent to tenofovir disoproxil 245 mg</t>
  </si>
  <si>
    <t>EFAVIRENZ</t>
  </si>
  <si>
    <t>=</t>
  </si>
  <si>
    <t>TENOFOVIR DISOPROXIL FUMARATE</t>
  </si>
  <si>
    <t>Tenofovir Disoproxil Fumarate</t>
  </si>
  <si>
    <t>Lamivudine</t>
  </si>
  <si>
    <t>Efavirenz</t>
  </si>
  <si>
    <t>PETER KIPKORIR</t>
  </si>
  <si>
    <t>Average Tablet Weight (mg):</t>
  </si>
  <si>
    <t>NDQB201604870</t>
  </si>
  <si>
    <t>Dissolution (S1)</t>
  </si>
  <si>
    <t>REPEAT Dissolution (S2)</t>
  </si>
  <si>
    <t>The RSD of the peak areas for six replicate injections of  SST Std is less than 2.0%.</t>
  </si>
  <si>
    <t>The number of Theoretical Plates (USP) for all peaks is greater than 2000</t>
  </si>
  <si>
    <t>The Assymetry of all peaks were below 2.0</t>
  </si>
  <si>
    <t>DISSOLUTION REPEAT (S2):</t>
  </si>
  <si>
    <t>Analysis Data:</t>
  </si>
  <si>
    <t>Dissolution Result Summary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</si>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</sst>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"/>
    <numFmt numFmtId="173" formatCode="#,##0.0"/>
  </numFmts>
  <fonts count="3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10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4" fillId="2" borderId="0"/>
    <xf numFmtId="9" fontId="32" fillId="0" borderId="0" applyFont="0" applyFill="0" applyBorder="0" applyAlignment="0" applyProtection="0"/>
    <xf numFmtId="0" fontId="24" fillId="2" borderId="0"/>
  </cellStyleXfs>
  <cellXfs count="805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1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1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1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24" fillId="2" borderId="0" xfId="1" applyFill="1"/>
    <xf numFmtId="0" fontId="25" fillId="2" borderId="0" xfId="1" applyFont="1" applyFill="1"/>
    <xf numFmtId="0" fontId="26" fillId="2" borderId="0" xfId="1" applyFont="1" applyFill="1" applyAlignment="1">
      <alignment horizontal="right"/>
    </xf>
    <xf numFmtId="0" fontId="25" fillId="2" borderId="3" xfId="1" applyFont="1" applyFill="1" applyBorder="1"/>
    <xf numFmtId="0" fontId="26" fillId="2" borderId="5" xfId="1" applyFont="1" applyFill="1" applyBorder="1" applyAlignment="1">
      <alignment horizontal="center"/>
    </xf>
    <xf numFmtId="10" fontId="25" fillId="2" borderId="4" xfId="1" applyNumberFormat="1" applyFont="1" applyFill="1" applyBorder="1"/>
    <xf numFmtId="0" fontId="25" fillId="2" borderId="0" xfId="1" applyFont="1" applyFill="1" applyAlignment="1">
      <alignment horizontal="center"/>
    </xf>
    <xf numFmtId="0" fontId="25" fillId="2" borderId="4" xfId="1" applyFont="1" applyFill="1" applyBorder="1"/>
    <xf numFmtId="0" fontId="27" fillId="2" borderId="0" xfId="1" applyFont="1" applyFill="1" applyProtection="1">
      <protection locked="0"/>
    </xf>
    <xf numFmtId="0" fontId="27" fillId="2" borderId="0" xfId="1" applyFont="1" applyFill="1" applyAlignment="1" applyProtection="1">
      <alignment horizontal="left"/>
      <protection locked="0"/>
    </xf>
    <xf numFmtId="0" fontId="28" fillId="2" borderId="0" xfId="1" applyFont="1" applyFill="1"/>
    <xf numFmtId="0" fontId="27" fillId="2" borderId="0" xfId="1" applyFont="1" applyFill="1"/>
    <xf numFmtId="0" fontId="27" fillId="2" borderId="53" xfId="1" applyFont="1" applyFill="1" applyBorder="1"/>
    <xf numFmtId="0" fontId="27" fillId="2" borderId="3" xfId="1" applyFont="1" applyFill="1" applyBorder="1"/>
    <xf numFmtId="0" fontId="28" fillId="2" borderId="3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center"/>
    </xf>
    <xf numFmtId="0" fontId="27" fillId="2" borderId="54" xfId="1" applyFont="1" applyFill="1" applyBorder="1"/>
    <xf numFmtId="0" fontId="27" fillId="2" borderId="55" xfId="1" applyFont="1" applyFill="1" applyBorder="1"/>
    <xf numFmtId="165" fontId="28" fillId="2" borderId="0" xfId="1" applyNumberFormat="1" applyFont="1" applyFill="1" applyAlignment="1">
      <alignment horizontal="center"/>
    </xf>
    <xf numFmtId="10" fontId="28" fillId="7" borderId="1" xfId="1" applyNumberFormat="1" applyFont="1" applyFill="1" applyBorder="1" applyAlignment="1">
      <alignment horizontal="center"/>
    </xf>
    <xf numFmtId="0" fontId="27" fillId="2" borderId="56" xfId="1" applyFont="1" applyFill="1" applyBorder="1"/>
    <xf numFmtId="2" fontId="28" fillId="6" borderId="1" xfId="1" applyNumberFormat="1" applyFont="1" applyFill="1" applyBorder="1" applyAlignment="1">
      <alignment horizontal="center"/>
    </xf>
    <xf numFmtId="1" fontId="28" fillId="6" borderId="1" xfId="1" applyNumberFormat="1" applyFont="1" applyFill="1" applyBorder="1" applyAlignment="1">
      <alignment horizontal="center"/>
    </xf>
    <xf numFmtId="1" fontId="28" fillId="6" borderId="2" xfId="1" applyNumberFormat="1" applyFont="1" applyFill="1" applyBorder="1" applyAlignment="1">
      <alignment horizontal="center"/>
    </xf>
    <xf numFmtId="0" fontId="27" fillId="2" borderId="57" xfId="1" applyFont="1" applyFill="1" applyBorder="1"/>
    <xf numFmtId="0" fontId="29" fillId="3" borderId="54" xfId="1" applyFont="1" applyFill="1" applyBorder="1" applyAlignment="1" applyProtection="1">
      <alignment horizontal="center"/>
      <protection locked="0"/>
    </xf>
    <xf numFmtId="0" fontId="27" fillId="2" borderId="56" xfId="1" applyFont="1" applyFill="1" applyBorder="1" applyAlignment="1">
      <alignment horizontal="center"/>
    </xf>
    <xf numFmtId="0" fontId="29" fillId="3" borderId="56" xfId="1" applyFont="1" applyFill="1" applyBorder="1" applyAlignment="1" applyProtection="1">
      <alignment horizontal="center"/>
      <protection locked="0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2" fontId="28" fillId="2" borderId="0" xfId="1" applyNumberFormat="1" applyFont="1" applyFill="1" applyAlignment="1">
      <alignment horizontal="center"/>
    </xf>
    <xf numFmtId="0" fontId="30" fillId="2" borderId="0" xfId="1" applyFont="1" applyFill="1"/>
    <xf numFmtId="22" fontId="27" fillId="2" borderId="0" xfId="1" applyNumberFormat="1" applyFont="1" applyFill="1"/>
    <xf numFmtId="0" fontId="28" fillId="2" borderId="0" xfId="1" applyFont="1" applyFill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0" xfId="1" applyFont="1" applyFill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wrapText="1"/>
    </xf>
    <xf numFmtId="0" fontId="16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 wrapText="1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29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33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58" xfId="1" applyFont="1" applyFill="1" applyBorder="1" applyAlignment="1">
      <alignment horizontal="center"/>
    </xf>
    <xf numFmtId="0" fontId="2" fillId="2" borderId="60" xfId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61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3" xfId="1" applyFont="1" applyFill="1" applyBorder="1"/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62" xfId="1" applyFont="1" applyFill="1" applyBorder="1" applyAlignment="1">
      <alignment horizontal="center"/>
    </xf>
    <xf numFmtId="0" fontId="2" fillId="2" borderId="63" xfId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1" fillId="2" borderId="67" xfId="1" applyFont="1" applyFill="1" applyBorder="1" applyAlignment="1">
      <alignment horizontal="center" vertical="center"/>
    </xf>
    <xf numFmtId="0" fontId="1" fillId="2" borderId="68" xfId="1" applyFont="1" applyFill="1" applyBorder="1" applyAlignment="1">
      <alignment horizontal="center" wrapText="1"/>
    </xf>
    <xf numFmtId="165" fontId="5" fillId="2" borderId="70" xfId="0" applyNumberFormat="1" applyFont="1" applyFill="1" applyBorder="1" applyAlignment="1">
      <alignment horizontal="center"/>
    </xf>
    <xf numFmtId="165" fontId="5" fillId="2" borderId="66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 vertical="center"/>
    </xf>
    <xf numFmtId="2" fontId="5" fillId="2" borderId="64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2" fontId="29" fillId="2" borderId="73" xfId="1" applyNumberFormat="1" applyFont="1" applyFill="1" applyBorder="1" applyAlignment="1" applyProtection="1">
      <alignment horizontal="center"/>
      <protection locked="0"/>
    </xf>
    <xf numFmtId="0" fontId="2" fillId="2" borderId="73" xfId="1" applyFont="1" applyFill="1" applyBorder="1" applyAlignment="1">
      <alignment horizontal="right"/>
    </xf>
    <xf numFmtId="0" fontId="6" fillId="2" borderId="73" xfId="1" applyFont="1" applyFill="1" applyBorder="1"/>
    <xf numFmtId="0" fontId="1" fillId="2" borderId="73" xfId="1" applyFont="1" applyFill="1" applyBorder="1"/>
    <xf numFmtId="2" fontId="2" fillId="3" borderId="74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 wrapText="1"/>
      <protection locked="0"/>
    </xf>
    <xf numFmtId="2" fontId="2" fillId="3" borderId="75" xfId="1" applyNumberFormat="1" applyFont="1" applyFill="1" applyBorder="1" applyAlignment="1" applyProtection="1">
      <alignment horizontal="center" wrapText="1"/>
      <protection locked="0"/>
    </xf>
    <xf numFmtId="164" fontId="1" fillId="2" borderId="5" xfId="1" applyNumberFormat="1" applyFont="1" applyFill="1" applyBorder="1" applyAlignment="1">
      <alignment horizontal="center"/>
    </xf>
    <xf numFmtId="0" fontId="1" fillId="2" borderId="76" xfId="1" applyFont="1" applyFill="1" applyBorder="1" applyAlignment="1">
      <alignment horizontal="center"/>
    </xf>
    <xf numFmtId="10" fontId="2" fillId="2" borderId="77" xfId="0" applyNumberFormat="1" applyFont="1" applyFill="1" applyBorder="1" applyAlignment="1">
      <alignment horizontal="center"/>
    </xf>
    <xf numFmtId="10" fontId="2" fillId="2" borderId="78" xfId="0" applyNumberFormat="1" applyFont="1" applyFill="1" applyBorder="1" applyAlignment="1">
      <alignment horizontal="center"/>
    </xf>
    <xf numFmtId="0" fontId="30" fillId="2" borderId="0" xfId="1" applyFont="1" applyFill="1" applyAlignment="1">
      <alignment horizontal="center"/>
    </xf>
    <xf numFmtId="172" fontId="29" fillId="3" borderId="56" xfId="1" applyNumberFormat="1" applyFont="1" applyFill="1" applyBorder="1" applyAlignment="1" applyProtection="1">
      <alignment horizontal="center"/>
      <protection locked="0"/>
    </xf>
    <xf numFmtId="172" fontId="29" fillId="3" borderId="57" xfId="1" applyNumberFormat="1" applyFont="1" applyFill="1" applyBorder="1" applyAlignment="1" applyProtection="1">
      <alignment horizontal="center"/>
      <protection locked="0"/>
    </xf>
    <xf numFmtId="172" fontId="29" fillId="3" borderId="54" xfId="1" applyNumberFormat="1" applyFont="1" applyFill="1" applyBorder="1" applyAlignment="1" applyProtection="1">
      <alignment horizontal="center"/>
      <protection locked="0"/>
    </xf>
    <xf numFmtId="173" fontId="29" fillId="3" borderId="56" xfId="1" applyNumberFormat="1" applyFont="1" applyFill="1" applyBorder="1" applyAlignment="1" applyProtection="1">
      <alignment horizontal="center"/>
      <protection locked="0"/>
    </xf>
    <xf numFmtId="173" fontId="29" fillId="3" borderId="54" xfId="1" applyNumberFormat="1" applyFont="1" applyFill="1" applyBorder="1" applyAlignment="1" applyProtection="1">
      <alignment horizontal="center"/>
      <protection locked="0"/>
    </xf>
    <xf numFmtId="3" fontId="29" fillId="3" borderId="56" xfId="1" applyNumberFormat="1" applyFont="1" applyFill="1" applyBorder="1" applyAlignment="1" applyProtection="1">
      <alignment horizontal="center"/>
      <protection locked="0"/>
    </xf>
    <xf numFmtId="3" fontId="29" fillId="3" borderId="54" xfId="1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0" fontId="12" fillId="3" borderId="0" xfId="0" applyFont="1" applyFill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23" fillId="3" borderId="0" xfId="0" applyFont="1" applyFill="1" applyAlignment="1" applyProtection="1">
      <alignment horizontal="center" wrapText="1"/>
      <protection locked="0"/>
    </xf>
    <xf numFmtId="0" fontId="22" fillId="3" borderId="0" xfId="0" applyFont="1" applyFill="1" applyAlignment="1" applyProtection="1">
      <alignment horizontal="center"/>
      <protection locked="0"/>
    </xf>
    <xf numFmtId="2" fontId="11" fillId="3" borderId="1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vertical="center" wrapText="1"/>
    </xf>
    <xf numFmtId="9" fontId="2" fillId="2" borderId="0" xfId="2" applyFont="1" applyFill="1"/>
    <xf numFmtId="10" fontId="2" fillId="2" borderId="0" xfId="2" applyNumberFormat="1" applyFont="1" applyFill="1"/>
    <xf numFmtId="0" fontId="9" fillId="2" borderId="0" xfId="0" applyFont="1" applyFill="1" applyBorder="1"/>
    <xf numFmtId="0" fontId="2" fillId="2" borderId="0" xfId="0" applyFont="1" applyFill="1" applyAlignment="1">
      <alignment wrapText="1"/>
    </xf>
    <xf numFmtId="166" fontId="9" fillId="2" borderId="0" xfId="0" applyNumberFormat="1" applyFont="1" applyFill="1" applyBorder="1" applyAlignment="1">
      <alignment horizontal="center"/>
    </xf>
    <xf numFmtId="10" fontId="9" fillId="2" borderId="0" xfId="2" applyNumberFormat="1" applyFont="1" applyFill="1" applyBorder="1" applyAlignment="1">
      <alignment horizontal="center"/>
    </xf>
    <xf numFmtId="0" fontId="5" fillId="2" borderId="7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6" fillId="2" borderId="17" xfId="0" applyFont="1" applyFill="1" applyBorder="1"/>
    <xf numFmtId="0" fontId="11" fillId="3" borderId="40" xfId="0" applyFont="1" applyFill="1" applyBorder="1" applyAlignment="1" applyProtection="1">
      <alignment horizontal="center"/>
      <protection locked="0"/>
    </xf>
    <xf numFmtId="0" fontId="10" fillId="2" borderId="80" xfId="0" applyFont="1" applyFill="1" applyBorder="1" applyAlignment="1">
      <alignment horizontal="center"/>
    </xf>
    <xf numFmtId="0" fontId="10" fillId="2" borderId="81" xfId="0" applyFont="1" applyFill="1" applyBorder="1" applyAlignment="1">
      <alignment horizontal="center"/>
    </xf>
    <xf numFmtId="0" fontId="11" fillId="3" borderId="82" xfId="0" applyFont="1" applyFill="1" applyBorder="1" applyAlignment="1" applyProtection="1">
      <alignment horizontal="center"/>
      <protection locked="0"/>
    </xf>
    <xf numFmtId="170" fontId="9" fillId="2" borderId="83" xfId="0" applyNumberFormat="1" applyFont="1" applyFill="1" applyBorder="1" applyAlignment="1">
      <alignment horizontal="center"/>
    </xf>
    <xf numFmtId="0" fontId="11" fillId="3" borderId="84" xfId="0" applyFont="1" applyFill="1" applyBorder="1" applyAlignment="1" applyProtection="1">
      <alignment horizontal="center"/>
      <protection locked="0"/>
    </xf>
    <xf numFmtId="170" fontId="9" fillId="2" borderId="85" xfId="0" applyNumberFormat="1" applyFont="1" applyFill="1" applyBorder="1" applyAlignment="1">
      <alignment horizontal="center"/>
    </xf>
    <xf numFmtId="0" fontId="11" fillId="3" borderId="86" xfId="0" applyFont="1" applyFill="1" applyBorder="1" applyAlignment="1" applyProtection="1">
      <alignment horizontal="center"/>
      <protection locked="0"/>
    </xf>
    <xf numFmtId="170" fontId="9" fillId="2" borderId="87" xfId="0" applyNumberFormat="1" applyFont="1" applyFill="1" applyBorder="1" applyAlignment="1">
      <alignment horizontal="center"/>
    </xf>
    <xf numFmtId="1" fontId="10" fillId="4" borderId="88" xfId="0" applyNumberFormat="1" applyFont="1" applyFill="1" applyBorder="1" applyAlignment="1">
      <alignment horizontal="center"/>
    </xf>
    <xf numFmtId="170" fontId="10" fillId="4" borderId="89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 wrapText="1"/>
      <protection locked="0"/>
    </xf>
    <xf numFmtId="10" fontId="9" fillId="2" borderId="0" xfId="2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left"/>
    </xf>
    <xf numFmtId="0" fontId="25" fillId="2" borderId="0" xfId="1" applyFont="1" applyFill="1" applyBorder="1"/>
    <xf numFmtId="0" fontId="26" fillId="2" borderId="3" xfId="1" applyFont="1" applyFill="1" applyBorder="1"/>
    <xf numFmtId="0" fontId="25" fillId="2" borderId="90" xfId="1" applyFont="1" applyFill="1" applyBorder="1"/>
    <xf numFmtId="0" fontId="25" fillId="2" borderId="0" xfId="1" applyFont="1" applyFill="1" applyBorder="1" applyAlignment="1">
      <alignment horizontal="center"/>
    </xf>
    <xf numFmtId="0" fontId="24" fillId="2" borderId="0" xfId="1" applyFill="1" applyBorder="1"/>
    <xf numFmtId="14" fontId="25" fillId="2" borderId="0" xfId="1" applyNumberFormat="1" applyFont="1" applyFill="1" applyBorder="1"/>
    <xf numFmtId="14" fontId="25" fillId="2" borderId="3" xfId="1" applyNumberFormat="1" applyFont="1" applyFill="1" applyBorder="1" applyAlignment="1">
      <alignment horizontal="center"/>
    </xf>
    <xf numFmtId="0" fontId="26" fillId="2" borderId="90" xfId="1" applyFont="1" applyFill="1" applyBorder="1"/>
    <xf numFmtId="0" fontId="25" fillId="2" borderId="91" xfId="1" applyFont="1" applyFill="1" applyBorder="1"/>
    <xf numFmtId="0" fontId="26" fillId="2" borderId="0" xfId="1" applyFont="1" applyFill="1" applyBorder="1" applyAlignment="1">
      <alignment horizontal="center"/>
    </xf>
    <xf numFmtId="2" fontId="34" fillId="2" borderId="0" xfId="1" applyNumberFormat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164" fontId="34" fillId="2" borderId="0" xfId="1" applyNumberFormat="1" applyFont="1" applyFill="1" applyAlignment="1">
      <alignment horizontal="center"/>
    </xf>
    <xf numFmtId="2" fontId="2" fillId="2" borderId="65" xfId="1" applyNumberFormat="1" applyFont="1" applyFill="1" applyBorder="1" applyAlignment="1">
      <alignment horizontal="center"/>
    </xf>
    <xf numFmtId="170" fontId="1" fillId="2" borderId="66" xfId="1" applyNumberFormat="1" applyFont="1" applyFill="1" applyBorder="1" applyAlignment="1">
      <alignment horizontal="center"/>
    </xf>
    <xf numFmtId="170" fontId="10" fillId="2" borderId="0" xfId="0" applyNumberFormat="1" applyFont="1" applyFill="1" applyAlignment="1" applyProtection="1">
      <alignment horizontal="center"/>
      <protection locked="0"/>
    </xf>
    <xf numFmtId="0" fontId="9" fillId="2" borderId="93" xfId="0" applyFont="1" applyFill="1" applyBorder="1" applyAlignment="1">
      <alignment horizontal="right"/>
    </xf>
    <xf numFmtId="0" fontId="9" fillId="2" borderId="92" xfId="0" applyFont="1" applyFill="1" applyBorder="1" applyAlignment="1">
      <alignment horizontal="right"/>
    </xf>
    <xf numFmtId="170" fontId="9" fillId="2" borderId="94" xfId="0" applyNumberFormat="1" applyFont="1" applyFill="1" applyBorder="1" applyAlignment="1">
      <alignment horizontal="right"/>
    </xf>
    <xf numFmtId="0" fontId="9" fillId="2" borderId="95" xfId="0" applyFont="1" applyFill="1" applyBorder="1" applyAlignment="1">
      <alignment horizontal="right"/>
    </xf>
    <xf numFmtId="172" fontId="28" fillId="6" borderId="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0" fontId="26" fillId="2" borderId="5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28" fillId="2" borderId="73" xfId="1" applyFont="1" applyFill="1" applyBorder="1"/>
    <xf numFmtId="0" fontId="27" fillId="2" borderId="73" xfId="1" applyFont="1" applyFill="1" applyBorder="1" applyAlignment="1" applyProtection="1">
      <alignment horizontal="left"/>
      <protection locked="0"/>
    </xf>
    <xf numFmtId="0" fontId="27" fillId="2" borderId="73" xfId="1" applyFont="1" applyFill="1" applyBorder="1" applyProtection="1">
      <protection locked="0"/>
    </xf>
    <xf numFmtId="0" fontId="27" fillId="2" borderId="73" xfId="1" applyFont="1" applyFill="1" applyBorder="1"/>
    <xf numFmtId="0" fontId="4" fillId="2" borderId="0" xfId="1" applyFont="1" applyFill="1" applyAlignment="1">
      <alignment horizontal="left"/>
    </xf>
    <xf numFmtId="10" fontId="25" fillId="2" borderId="0" xfId="1" applyNumberFormat="1" applyFont="1" applyFill="1" applyBorder="1"/>
    <xf numFmtId="0" fontId="25" fillId="2" borderId="73" xfId="1" applyFont="1" applyFill="1" applyBorder="1"/>
    <xf numFmtId="0" fontId="25" fillId="2" borderId="73" xfId="1" applyFont="1" applyFill="1" applyBorder="1" applyAlignment="1">
      <alignment horizontal="center"/>
    </xf>
    <xf numFmtId="10" fontId="25" fillId="2" borderId="73" xfId="1" applyNumberFormat="1" applyFont="1" applyFill="1" applyBorder="1"/>
    <xf numFmtId="0" fontId="5" fillId="2" borderId="0" xfId="1" applyFont="1" applyFill="1"/>
    <xf numFmtId="0" fontId="4" fillId="2" borderId="0" xfId="1" applyFont="1" applyFill="1" applyBorder="1" applyAlignment="1">
      <alignment horizontal="left"/>
    </xf>
    <xf numFmtId="0" fontId="5" fillId="2" borderId="0" xfId="1" applyFont="1" applyFill="1" applyBorder="1" applyAlignment="1">
      <alignment horizontal="center"/>
    </xf>
    <xf numFmtId="166" fontId="28" fillId="2" borderId="0" xfId="1" applyNumberFormat="1" applyFont="1" applyFill="1" applyAlignment="1">
      <alignment horizontal="center"/>
    </xf>
    <xf numFmtId="0" fontId="17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/>
    </xf>
    <xf numFmtId="170" fontId="9" fillId="2" borderId="99" xfId="0" applyNumberFormat="1" applyFont="1" applyFill="1" applyBorder="1" applyAlignment="1">
      <alignment horizontal="center"/>
    </xf>
    <xf numFmtId="170" fontId="9" fillId="2" borderId="95" xfId="0" applyNumberFormat="1" applyFont="1" applyFill="1" applyBorder="1" applyAlignment="1">
      <alignment horizontal="center"/>
    </xf>
    <xf numFmtId="170" fontId="9" fillId="2" borderId="100" xfId="0" applyNumberFormat="1" applyFont="1" applyFill="1" applyBorder="1" applyAlignment="1">
      <alignment horizontal="center"/>
    </xf>
    <xf numFmtId="0" fontId="10" fillId="2" borderId="83" xfId="0" applyFont="1" applyFill="1" applyBorder="1" applyAlignment="1">
      <alignment horizontal="center"/>
    </xf>
    <xf numFmtId="170" fontId="9" fillId="2" borderId="101" xfId="0" applyNumberFormat="1" applyFont="1" applyFill="1" applyBorder="1" applyAlignment="1">
      <alignment horizontal="center"/>
    </xf>
    <xf numFmtId="170" fontId="9" fillId="2" borderId="102" xfId="0" applyNumberFormat="1" applyFont="1" applyFill="1" applyBorder="1" applyAlignment="1">
      <alignment horizontal="center"/>
    </xf>
    <xf numFmtId="170" fontId="11" fillId="3" borderId="86" xfId="0" applyNumberFormat="1" applyFont="1" applyFill="1" applyBorder="1" applyAlignment="1" applyProtection="1">
      <alignment horizontal="center"/>
      <protection locked="0"/>
    </xf>
    <xf numFmtId="170" fontId="9" fillId="2" borderId="103" xfId="0" applyNumberFormat="1" applyFont="1" applyFill="1" applyBorder="1" applyAlignment="1">
      <alignment horizontal="center"/>
    </xf>
    <xf numFmtId="1" fontId="10" fillId="4" borderId="104" xfId="0" applyNumberFormat="1" applyFont="1" applyFill="1" applyBorder="1" applyAlignment="1">
      <alignment horizontal="center"/>
    </xf>
    <xf numFmtId="170" fontId="10" fillId="4" borderId="105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10" fontId="9" fillId="2" borderId="19" xfId="0" applyNumberFormat="1" applyFont="1" applyFill="1" applyBorder="1" applyAlignment="1">
      <alignment horizontal="center"/>
    </xf>
    <xf numFmtId="10" fontId="9" fillId="2" borderId="28" xfId="0" applyNumberFormat="1" applyFont="1" applyFill="1" applyBorder="1" applyAlignment="1">
      <alignment horizontal="center"/>
    </xf>
    <xf numFmtId="166" fontId="9" fillId="2" borderId="96" xfId="0" applyNumberFormat="1" applyFont="1" applyFill="1" applyBorder="1" applyAlignment="1">
      <alignment horizontal="center"/>
    </xf>
    <xf numFmtId="166" fontId="9" fillId="2" borderId="97" xfId="0" applyNumberFormat="1" applyFont="1" applyFill="1" applyBorder="1" applyAlignment="1">
      <alignment horizontal="center"/>
    </xf>
    <xf numFmtId="166" fontId="9" fillId="2" borderId="98" xfId="0" applyNumberFormat="1" applyFont="1" applyFill="1" applyBorder="1" applyAlignment="1">
      <alignment horizontal="center"/>
    </xf>
    <xf numFmtId="0" fontId="3" fillId="2" borderId="0" xfId="3" applyFont="1" applyFill="1" applyAlignment="1">
      <alignment horizontal="left"/>
    </xf>
    <xf numFmtId="0" fontId="3" fillId="2" borderId="0" xfId="3" applyFont="1" applyFill="1" applyAlignment="1">
      <alignment horizontal="left" vertical="center"/>
    </xf>
    <xf numFmtId="0" fontId="9" fillId="2" borderId="0" xfId="3" applyFont="1" applyFill="1"/>
    <xf numFmtId="0" fontId="9" fillId="2" borderId="0" xfId="3" applyFont="1" applyFill="1" applyAlignment="1">
      <alignment horizontal="center"/>
    </xf>
    <xf numFmtId="0" fontId="17" fillId="2" borderId="0" xfId="3" applyFont="1" applyFill="1" applyAlignment="1">
      <alignment horizontal="left" vertical="center" wrapText="1"/>
    </xf>
    <xf numFmtId="170" fontId="9" fillId="2" borderId="42" xfId="3" applyNumberFormat="1" applyFont="1" applyFill="1" applyBorder="1" applyAlignment="1">
      <alignment horizontal="right"/>
    </xf>
    <xf numFmtId="165" fontId="11" fillId="5" borderId="47" xfId="3" applyNumberFormat="1" applyFont="1" applyFill="1" applyBorder="1" applyAlignment="1">
      <alignment horizontal="center"/>
    </xf>
    <xf numFmtId="0" fontId="9" fillId="2" borderId="18" xfId="3" applyFont="1" applyFill="1" applyBorder="1" applyAlignment="1">
      <alignment horizontal="right"/>
    </xf>
    <xf numFmtId="165" fontId="11" fillId="4" borderId="22" xfId="3" applyNumberFormat="1" applyFont="1" applyFill="1" applyBorder="1" applyAlignment="1">
      <alignment horizontal="center"/>
    </xf>
    <xf numFmtId="0" fontId="9" fillId="2" borderId="106" xfId="3" applyFont="1" applyFill="1" applyBorder="1" applyAlignment="1">
      <alignment horizontal="right"/>
    </xf>
    <xf numFmtId="0" fontId="11" fillId="5" borderId="107" xfId="3" applyFont="1" applyFill="1" applyBorder="1" applyAlignment="1">
      <alignment horizontal="center"/>
    </xf>
    <xf numFmtId="0" fontId="10" fillId="2" borderId="0" xfId="3" applyFont="1" applyFill="1" applyAlignment="1">
      <alignment horizontal="right" vertical="center"/>
    </xf>
    <xf numFmtId="0" fontId="9" fillId="2" borderId="0" xfId="3" applyFont="1" applyFill="1" applyAlignment="1">
      <alignment horizontal="right" vertical="center"/>
    </xf>
    <xf numFmtId="0" fontId="9" fillId="2" borderId="0" xfId="3" applyFont="1" applyFill="1" applyAlignment="1">
      <alignment vertical="center"/>
    </xf>
    <xf numFmtId="165" fontId="11" fillId="2" borderId="0" xfId="3" applyNumberFormat="1" applyFont="1" applyFill="1" applyAlignment="1">
      <alignment horizontal="center" vertical="center"/>
    </xf>
    <xf numFmtId="0" fontId="9" fillId="2" borderId="0" xfId="3" applyFont="1" applyFill="1" applyAlignment="1">
      <alignment horizontal="left" vertical="center"/>
    </xf>
    <xf numFmtId="0" fontId="10" fillId="2" borderId="0" xfId="3" applyFont="1" applyFill="1" applyAlignment="1">
      <alignment vertical="center"/>
    </xf>
    <xf numFmtId="0" fontId="31" fillId="2" borderId="0" xfId="1" applyFont="1" applyFill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26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33" fillId="2" borderId="0" xfId="1" applyFont="1" applyFill="1" applyAlignment="1">
      <alignment horizontal="center"/>
    </xf>
    <xf numFmtId="169" fontId="1" fillId="2" borderId="69" xfId="1" applyNumberFormat="1" applyFont="1" applyFill="1" applyBorder="1" applyAlignment="1">
      <alignment horizontal="center" vertical="center"/>
    </xf>
    <xf numFmtId="169" fontId="1" fillId="2" borderId="71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8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15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2" fontId="11" fillId="3" borderId="9" xfId="0" applyNumberFormat="1" applyFont="1" applyFill="1" applyBorder="1" applyAlignment="1" applyProtection="1">
      <alignment horizontal="center" vertical="center"/>
      <protection locked="0"/>
    </xf>
    <xf numFmtId="2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16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10" fontId="13" fillId="2" borderId="9" xfId="0" applyNumberFormat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0" fillId="2" borderId="62" xfId="0" applyFont="1" applyFill="1" applyBorder="1" applyAlignment="1">
      <alignment horizontal="center"/>
    </xf>
    <xf numFmtId="0" fontId="10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10" fontId="13" fillId="2" borderId="19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4" xfId="3"/>
    <cellStyle name="Percent" xfId="2" builtinId="5"/>
  </cellStyles>
  <dxfs count="29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view="pageBreakPreview" topLeftCell="A52" zoomScale="90" zoomScaleNormal="100" zoomScaleSheetLayoutView="90" workbookViewId="0">
      <selection activeCell="C61" sqref="C61"/>
    </sheetView>
  </sheetViews>
  <sheetFormatPr defaultColWidth="9.109375" defaultRowHeight="13.8" x14ac:dyDescent="0.3"/>
  <cols>
    <col min="1" max="1" width="27.5546875" style="536" customWidth="1"/>
    <col min="2" max="2" width="20.44140625" style="536" customWidth="1"/>
    <col min="3" max="3" width="31.88671875" style="536" customWidth="1"/>
    <col min="4" max="4" width="28.109375" style="536" customWidth="1"/>
    <col min="5" max="5" width="27.88671875" style="536" customWidth="1"/>
    <col min="6" max="6" width="23.109375" style="536" customWidth="1"/>
    <col min="7" max="7" width="28.44140625" style="536" customWidth="1"/>
    <col min="8" max="8" width="21.5546875" style="536" customWidth="1"/>
    <col min="9" max="9" width="9.109375" style="536" customWidth="1"/>
    <col min="10" max="16384" width="9.109375" style="535"/>
  </cols>
  <sheetData>
    <row r="1" spans="1:6" s="536" customFormat="1" ht="15" customHeight="1" x14ac:dyDescent="0.3">
      <c r="A1" s="572"/>
      <c r="C1" s="571"/>
      <c r="F1" s="571"/>
    </row>
    <row r="2" spans="1:6" s="536" customFormat="1" ht="18.75" customHeight="1" x14ac:dyDescent="0.35">
      <c r="A2" s="754" t="s">
        <v>120</v>
      </c>
      <c r="B2" s="754"/>
      <c r="C2" s="754"/>
      <c r="D2" s="754"/>
      <c r="E2" s="754"/>
    </row>
    <row r="3" spans="1:6" s="536" customFormat="1" ht="16.5" customHeight="1" x14ac:dyDescent="0.3">
      <c r="A3" s="568" t="s">
        <v>0</v>
      </c>
      <c r="B3" s="636" t="s">
        <v>119</v>
      </c>
    </row>
    <row r="4" spans="1:6" s="536" customFormat="1" ht="16.5" customHeight="1" x14ac:dyDescent="0.3">
      <c r="A4" s="566" t="s">
        <v>118</v>
      </c>
      <c r="B4" s="673" t="s">
        <v>139</v>
      </c>
      <c r="D4" s="570"/>
      <c r="E4" s="546"/>
    </row>
    <row r="5" spans="1:6" s="536" customFormat="1" ht="16.5" customHeight="1" x14ac:dyDescent="0.3">
      <c r="A5" s="545" t="s">
        <v>1</v>
      </c>
      <c r="B5" s="673" t="s">
        <v>135</v>
      </c>
      <c r="C5" s="546"/>
      <c r="D5" s="546"/>
      <c r="E5" s="546"/>
    </row>
    <row r="6" spans="1:6" s="536" customFormat="1" ht="16.5" customHeight="1" x14ac:dyDescent="0.3">
      <c r="A6" s="545" t="s">
        <v>2</v>
      </c>
      <c r="B6" s="686">
        <v>101.74</v>
      </c>
      <c r="C6" s="546"/>
      <c r="D6" s="546"/>
      <c r="E6" s="546"/>
    </row>
    <row r="7" spans="1:6" s="536" customFormat="1" ht="16.5" customHeight="1" x14ac:dyDescent="0.3">
      <c r="A7" s="566" t="s">
        <v>116</v>
      </c>
      <c r="B7" s="685">
        <v>16.93</v>
      </c>
      <c r="C7" s="546"/>
      <c r="D7" s="546"/>
      <c r="E7" s="546"/>
    </row>
    <row r="8" spans="1:6" s="536" customFormat="1" ht="16.5" customHeight="1" x14ac:dyDescent="0.3">
      <c r="A8" s="696" t="s">
        <v>115</v>
      </c>
      <c r="B8" s="687">
        <f>B7/25*5/50</f>
        <v>6.7720000000000002E-2</v>
      </c>
      <c r="C8" s="546"/>
      <c r="D8" s="546"/>
      <c r="E8" s="546"/>
    </row>
    <row r="9" spans="1:6" s="536" customFormat="1" ht="15.75" customHeight="1" x14ac:dyDescent="0.3">
      <c r="A9" s="546"/>
      <c r="B9" s="569"/>
      <c r="C9" s="546"/>
      <c r="D9" s="546"/>
      <c r="E9" s="546"/>
    </row>
    <row r="10" spans="1:6" s="536" customFormat="1" ht="16.5" customHeight="1" x14ac:dyDescent="0.3">
      <c r="A10" s="563" t="s">
        <v>114</v>
      </c>
      <c r="B10" s="564" t="s">
        <v>113</v>
      </c>
      <c r="C10" s="563" t="s">
        <v>112</v>
      </c>
      <c r="D10" s="563" t="s">
        <v>111</v>
      </c>
      <c r="E10" s="563" t="s">
        <v>110</v>
      </c>
    </row>
    <row r="11" spans="1:6" s="536" customFormat="1" ht="16.5" customHeight="1" x14ac:dyDescent="0.3">
      <c r="A11" s="561">
        <v>1</v>
      </c>
      <c r="B11" s="562">
        <v>19478301</v>
      </c>
      <c r="C11" s="562">
        <v>10048.700000000001</v>
      </c>
      <c r="D11" s="637">
        <v>1.1000000000000001</v>
      </c>
      <c r="E11" s="638">
        <v>5.4</v>
      </c>
    </row>
    <row r="12" spans="1:6" s="536" customFormat="1" ht="16.5" customHeight="1" x14ac:dyDescent="0.3">
      <c r="A12" s="561">
        <v>2</v>
      </c>
      <c r="B12" s="562">
        <v>19532279</v>
      </c>
      <c r="C12" s="562">
        <v>10007.9</v>
      </c>
      <c r="D12" s="637">
        <v>1.1000000000000001</v>
      </c>
      <c r="E12" s="637">
        <v>5.4</v>
      </c>
    </row>
    <row r="13" spans="1:6" s="536" customFormat="1" ht="16.5" customHeight="1" x14ac:dyDescent="0.3">
      <c r="A13" s="561">
        <v>3</v>
      </c>
      <c r="B13" s="562">
        <v>19482165</v>
      </c>
      <c r="C13" s="562">
        <v>10083.299999999999</v>
      </c>
      <c r="D13" s="637">
        <v>1.1000000000000001</v>
      </c>
      <c r="E13" s="637">
        <v>5.4</v>
      </c>
    </row>
    <row r="14" spans="1:6" s="536" customFormat="1" ht="16.5" customHeight="1" x14ac:dyDescent="0.3">
      <c r="A14" s="561">
        <v>4</v>
      </c>
      <c r="B14" s="562">
        <v>19473805</v>
      </c>
      <c r="C14" s="562">
        <v>10051.4</v>
      </c>
      <c r="D14" s="637">
        <v>1.1000000000000001</v>
      </c>
      <c r="E14" s="637">
        <v>5.4</v>
      </c>
    </row>
    <row r="15" spans="1:6" s="536" customFormat="1" ht="16.5" customHeight="1" x14ac:dyDescent="0.3">
      <c r="A15" s="561">
        <v>5</v>
      </c>
      <c r="B15" s="562">
        <v>19391104</v>
      </c>
      <c r="C15" s="562">
        <v>10032.4</v>
      </c>
      <c r="D15" s="637">
        <v>1.1000000000000001</v>
      </c>
      <c r="E15" s="637">
        <v>5.4</v>
      </c>
    </row>
    <row r="16" spans="1:6" s="536" customFormat="1" ht="16.5" customHeight="1" x14ac:dyDescent="0.3">
      <c r="A16" s="561">
        <v>6</v>
      </c>
      <c r="B16" s="560">
        <v>19520116</v>
      </c>
      <c r="C16" s="560">
        <v>10026.299999999999</v>
      </c>
      <c r="D16" s="639">
        <v>1.1000000000000001</v>
      </c>
      <c r="E16" s="639">
        <v>5.4</v>
      </c>
    </row>
    <row r="17" spans="1:5" s="536" customFormat="1" ht="16.5" customHeight="1" x14ac:dyDescent="0.3">
      <c r="A17" s="559" t="s">
        <v>109</v>
      </c>
      <c r="B17" s="558">
        <f>AVERAGE(B11:B16)</f>
        <v>19479628.333333332</v>
      </c>
      <c r="C17" s="695">
        <f>AVERAGE(C11:C16)</f>
        <v>10041.666666666666</v>
      </c>
      <c r="D17" s="556">
        <f>AVERAGE(D11:D16)</f>
        <v>1.0999999999999999</v>
      </c>
      <c r="E17" s="556">
        <f>AVERAGE(E11:E16)</f>
        <v>5.3999999999999995</v>
      </c>
    </row>
    <row r="18" spans="1:5" s="536" customFormat="1" ht="16.5" customHeight="1" x14ac:dyDescent="0.3">
      <c r="A18" s="555" t="s">
        <v>108</v>
      </c>
      <c r="B18" s="554">
        <f>(STDEV(B11:B16)/B17)</f>
        <v>2.5451327215738847E-3</v>
      </c>
      <c r="C18" s="553"/>
      <c r="D18" s="553"/>
      <c r="E18" s="552"/>
    </row>
    <row r="19" spans="1:5" s="536" customFormat="1" ht="16.5" customHeight="1" x14ac:dyDescent="0.3">
      <c r="A19" s="551" t="s">
        <v>3</v>
      </c>
      <c r="B19" s="550">
        <f>COUNT(B11:B16)</f>
        <v>6</v>
      </c>
      <c r="C19" s="549"/>
      <c r="D19" s="548"/>
      <c r="E19" s="547"/>
    </row>
    <row r="20" spans="1:5" s="536" customFormat="1" ht="15.75" customHeight="1" x14ac:dyDescent="0.3">
      <c r="A20" s="546"/>
      <c r="B20" s="546"/>
      <c r="C20" s="546"/>
      <c r="D20" s="546"/>
      <c r="E20" s="546"/>
    </row>
    <row r="21" spans="1:5" s="536" customFormat="1" ht="16.5" customHeight="1" x14ac:dyDescent="0.3">
      <c r="A21" s="545" t="s">
        <v>107</v>
      </c>
      <c r="B21" s="544" t="s">
        <v>106</v>
      </c>
      <c r="C21" s="543"/>
      <c r="D21" s="543"/>
      <c r="E21" s="543"/>
    </row>
    <row r="22" spans="1:5" s="536" customFormat="1" ht="16.5" customHeight="1" x14ac:dyDescent="0.3">
      <c r="A22" s="545"/>
      <c r="B22" s="544" t="s">
        <v>105</v>
      </c>
      <c r="C22" s="543"/>
      <c r="D22" s="543"/>
      <c r="E22" s="543"/>
    </row>
    <row r="23" spans="1:5" s="536" customFormat="1" ht="16.5" customHeight="1" x14ac:dyDescent="0.3">
      <c r="A23" s="545"/>
      <c r="B23" s="544" t="s">
        <v>104</v>
      </c>
      <c r="C23" s="543"/>
      <c r="D23" s="543"/>
      <c r="E23" s="543"/>
    </row>
    <row r="24" spans="1:5" s="536" customFormat="1" ht="15.75" customHeight="1" thickBot="1" x14ac:dyDescent="0.35">
      <c r="A24" s="709"/>
      <c r="B24" s="709"/>
      <c r="C24" s="709"/>
      <c r="D24" s="709"/>
      <c r="E24" s="709"/>
    </row>
    <row r="25" spans="1:5" s="536" customFormat="1" ht="15.75" customHeight="1" x14ac:dyDescent="0.3">
      <c r="A25" s="546"/>
      <c r="B25" s="546"/>
      <c r="C25" s="546"/>
      <c r="D25" s="546"/>
      <c r="E25" s="546"/>
    </row>
    <row r="26" spans="1:5" s="536" customFormat="1" ht="16.5" customHeight="1" x14ac:dyDescent="0.3">
      <c r="A26" s="568" t="s">
        <v>0</v>
      </c>
      <c r="B26" s="700" t="s">
        <v>140</v>
      </c>
    </row>
    <row r="27" spans="1:5" s="536" customFormat="1" ht="16.5" customHeight="1" x14ac:dyDescent="0.3">
      <c r="A27" s="545" t="s">
        <v>1</v>
      </c>
      <c r="B27" s="567" t="str">
        <f>B5</f>
        <v>Lamivudine</v>
      </c>
      <c r="C27" s="546"/>
      <c r="D27" s="546"/>
      <c r="E27" s="546"/>
    </row>
    <row r="28" spans="1:5" s="536" customFormat="1" ht="16.5" customHeight="1" x14ac:dyDescent="0.3">
      <c r="A28" s="545" t="s">
        <v>2</v>
      </c>
      <c r="B28" s="567">
        <f>B6</f>
        <v>101.74</v>
      </c>
      <c r="C28" s="546"/>
      <c r="D28" s="546"/>
      <c r="E28" s="546"/>
    </row>
    <row r="29" spans="1:5" s="536" customFormat="1" ht="16.5" customHeight="1" x14ac:dyDescent="0.3">
      <c r="A29" s="566" t="s">
        <v>116</v>
      </c>
      <c r="B29" s="567">
        <v>19.39</v>
      </c>
      <c r="C29" s="546"/>
      <c r="D29" s="546"/>
      <c r="E29" s="546"/>
    </row>
    <row r="30" spans="1:5" s="536" customFormat="1" ht="16.5" customHeight="1" x14ac:dyDescent="0.3">
      <c r="A30" s="566" t="s">
        <v>115</v>
      </c>
      <c r="B30" s="565">
        <f>B29/25*10/20</f>
        <v>0.38780000000000003</v>
      </c>
      <c r="C30" s="546"/>
      <c r="D30" s="546"/>
      <c r="E30" s="546"/>
    </row>
    <row r="31" spans="1:5" s="536" customFormat="1" ht="15.75" customHeight="1" x14ac:dyDescent="0.3">
      <c r="A31" s="546"/>
      <c r="B31" s="546"/>
      <c r="C31" s="546"/>
      <c r="D31" s="546"/>
      <c r="E31" s="546"/>
    </row>
    <row r="32" spans="1:5" s="536" customFormat="1" ht="16.5" customHeight="1" x14ac:dyDescent="0.3">
      <c r="A32" s="563" t="s">
        <v>114</v>
      </c>
      <c r="B32" s="564" t="s">
        <v>113</v>
      </c>
      <c r="C32" s="563" t="s">
        <v>112</v>
      </c>
      <c r="D32" s="563" t="s">
        <v>111</v>
      </c>
      <c r="E32" s="563" t="s">
        <v>110</v>
      </c>
    </row>
    <row r="33" spans="1:5" s="536" customFormat="1" ht="16.5" customHeight="1" x14ac:dyDescent="0.3">
      <c r="A33" s="561">
        <v>1</v>
      </c>
      <c r="B33" s="562">
        <v>109088594</v>
      </c>
      <c r="C33" s="562">
        <v>14142.5</v>
      </c>
      <c r="D33" s="637">
        <v>1.1000000000000001</v>
      </c>
      <c r="E33" s="638">
        <v>5.9</v>
      </c>
    </row>
    <row r="34" spans="1:5" s="536" customFormat="1" ht="16.5" customHeight="1" x14ac:dyDescent="0.3">
      <c r="A34" s="561">
        <v>2</v>
      </c>
      <c r="B34" s="562">
        <v>107920038</v>
      </c>
      <c r="C34" s="562">
        <v>14129.1</v>
      </c>
      <c r="D34" s="637">
        <v>1.1000000000000001</v>
      </c>
      <c r="E34" s="637">
        <v>5.9</v>
      </c>
    </row>
    <row r="35" spans="1:5" s="536" customFormat="1" ht="16.5" customHeight="1" x14ac:dyDescent="0.3">
      <c r="A35" s="561">
        <v>3</v>
      </c>
      <c r="B35" s="562">
        <v>107586448</v>
      </c>
      <c r="C35" s="562">
        <v>14310.2</v>
      </c>
      <c r="D35" s="637">
        <v>1.1000000000000001</v>
      </c>
      <c r="E35" s="637">
        <v>5.9</v>
      </c>
    </row>
    <row r="36" spans="1:5" s="536" customFormat="1" ht="16.5" customHeight="1" x14ac:dyDescent="0.3">
      <c r="A36" s="561">
        <v>4</v>
      </c>
      <c r="B36" s="562">
        <v>107664730</v>
      </c>
      <c r="C36" s="562">
        <v>14116.6</v>
      </c>
      <c r="D36" s="637">
        <v>1.1000000000000001</v>
      </c>
      <c r="E36" s="637">
        <v>5.9</v>
      </c>
    </row>
    <row r="37" spans="1:5" s="536" customFormat="1" ht="16.5" customHeight="1" x14ac:dyDescent="0.3">
      <c r="A37" s="561">
        <v>5</v>
      </c>
      <c r="B37" s="562">
        <v>109199466</v>
      </c>
      <c r="C37" s="562">
        <v>14170.7</v>
      </c>
      <c r="D37" s="637">
        <v>1.1000000000000001</v>
      </c>
      <c r="E37" s="637">
        <v>5.9</v>
      </c>
    </row>
    <row r="38" spans="1:5" s="536" customFormat="1" ht="16.5" customHeight="1" x14ac:dyDescent="0.3">
      <c r="A38" s="561">
        <v>6</v>
      </c>
      <c r="B38" s="560">
        <v>109923327</v>
      </c>
      <c r="C38" s="639">
        <v>14328</v>
      </c>
      <c r="D38" s="639">
        <v>1.1000000000000001</v>
      </c>
      <c r="E38" s="639">
        <v>5.9</v>
      </c>
    </row>
    <row r="39" spans="1:5" s="536" customFormat="1" ht="16.5" customHeight="1" x14ac:dyDescent="0.3">
      <c r="A39" s="559" t="s">
        <v>109</v>
      </c>
      <c r="B39" s="558">
        <f>AVERAGE(B33:B38)</f>
        <v>108563767.16666667</v>
      </c>
      <c r="C39" s="557">
        <f>AVERAGE(C33:C38)</f>
        <v>14199.516666666668</v>
      </c>
      <c r="D39" s="556">
        <f>AVERAGE(D33:D38)</f>
        <v>1.0999999999999999</v>
      </c>
      <c r="E39" s="556">
        <f>AVERAGE(E33:E38)</f>
        <v>5.8999999999999995</v>
      </c>
    </row>
    <row r="40" spans="1:5" s="536" customFormat="1" ht="16.5" customHeight="1" x14ac:dyDescent="0.3">
      <c r="A40" s="555" t="s">
        <v>108</v>
      </c>
      <c r="B40" s="554">
        <f>(STDEV(B33:B38)/B39)</f>
        <v>8.9360440621053562E-3</v>
      </c>
      <c r="C40" s="553"/>
      <c r="D40" s="553"/>
      <c r="E40" s="552"/>
    </row>
    <row r="41" spans="1:5" s="536" customFormat="1" ht="16.5" customHeight="1" x14ac:dyDescent="0.3">
      <c r="A41" s="551" t="s">
        <v>3</v>
      </c>
      <c r="B41" s="550">
        <f>COUNT(B33:B38)</f>
        <v>6</v>
      </c>
      <c r="C41" s="549"/>
      <c r="D41" s="548"/>
      <c r="E41" s="547"/>
    </row>
    <row r="42" spans="1:5" s="536" customFormat="1" ht="15.75" customHeight="1" x14ac:dyDescent="0.3">
      <c r="A42" s="546"/>
      <c r="B42" s="546"/>
      <c r="C42" s="546"/>
      <c r="D42" s="546"/>
      <c r="E42" s="546"/>
    </row>
    <row r="43" spans="1:5" s="536" customFormat="1" ht="16.5" customHeight="1" x14ac:dyDescent="0.3">
      <c r="A43" s="545" t="s">
        <v>107</v>
      </c>
      <c r="B43" s="544" t="s">
        <v>106</v>
      </c>
      <c r="C43" s="543"/>
      <c r="D43" s="543"/>
      <c r="E43" s="543"/>
    </row>
    <row r="44" spans="1:5" s="536" customFormat="1" ht="16.5" customHeight="1" x14ac:dyDescent="0.3">
      <c r="A44" s="545"/>
      <c r="B44" s="544" t="s">
        <v>105</v>
      </c>
      <c r="C44" s="543"/>
      <c r="D44" s="543"/>
      <c r="E44" s="543"/>
    </row>
    <row r="45" spans="1:5" s="536" customFormat="1" ht="16.5" customHeight="1" x14ac:dyDescent="0.3">
      <c r="A45" s="545"/>
      <c r="B45" s="544" t="s">
        <v>104</v>
      </c>
      <c r="C45" s="543"/>
      <c r="D45" s="543"/>
      <c r="E45" s="543"/>
    </row>
    <row r="46" spans="1:5" s="536" customFormat="1" ht="16.5" customHeight="1" thickBot="1" x14ac:dyDescent="0.35">
      <c r="A46" s="706"/>
      <c r="B46" s="707"/>
      <c r="C46" s="708"/>
      <c r="D46" s="708"/>
      <c r="E46" s="708"/>
    </row>
    <row r="47" spans="1:5" s="536" customFormat="1" ht="16.5" customHeight="1" x14ac:dyDescent="0.3">
      <c r="A47" s="545"/>
      <c r="B47" s="544"/>
      <c r="C47" s="543"/>
      <c r="D47" s="543"/>
      <c r="E47" s="543"/>
    </row>
    <row r="48" spans="1:5" s="536" customFormat="1" ht="16.5" customHeight="1" x14ac:dyDescent="0.3">
      <c r="A48" s="568" t="s">
        <v>0</v>
      </c>
      <c r="B48" s="710" t="s">
        <v>141</v>
      </c>
    </row>
    <row r="49" spans="1:5" s="536" customFormat="1" ht="16.5" customHeight="1" x14ac:dyDescent="0.3">
      <c r="A49" s="545" t="s">
        <v>1</v>
      </c>
      <c r="B49" s="567" t="str">
        <f>B27</f>
        <v>Lamivudine</v>
      </c>
      <c r="C49" s="546"/>
      <c r="D49" s="546"/>
      <c r="E49" s="546"/>
    </row>
    <row r="50" spans="1:5" s="536" customFormat="1" ht="16.5" customHeight="1" x14ac:dyDescent="0.3">
      <c r="A50" s="545" t="s">
        <v>2</v>
      </c>
      <c r="B50" s="567">
        <f>B28</f>
        <v>101.74</v>
      </c>
      <c r="C50" s="546"/>
      <c r="D50" s="546"/>
      <c r="E50" s="546"/>
    </row>
    <row r="51" spans="1:5" s="536" customFormat="1" ht="16.5" customHeight="1" x14ac:dyDescent="0.3">
      <c r="A51" s="566" t="s">
        <v>116</v>
      </c>
      <c r="B51" s="567">
        <v>14.41</v>
      </c>
      <c r="C51" s="546"/>
      <c r="D51" s="546"/>
      <c r="E51" s="546"/>
    </row>
    <row r="52" spans="1:5" s="536" customFormat="1" ht="16.5" customHeight="1" x14ac:dyDescent="0.3">
      <c r="A52" s="566" t="s">
        <v>115</v>
      </c>
      <c r="B52" s="718">
        <f>B51/25*10/20</f>
        <v>0.28820000000000001</v>
      </c>
      <c r="C52" s="546"/>
      <c r="D52" s="546"/>
      <c r="E52" s="546"/>
    </row>
    <row r="53" spans="1:5" s="536" customFormat="1" ht="16.5" customHeight="1" x14ac:dyDescent="0.3">
      <c r="A53" s="546"/>
      <c r="B53" s="546"/>
      <c r="C53" s="546"/>
      <c r="D53" s="546"/>
      <c r="E53" s="546"/>
    </row>
    <row r="54" spans="1:5" s="536" customFormat="1" ht="16.5" customHeight="1" x14ac:dyDescent="0.3">
      <c r="A54" s="563" t="s">
        <v>114</v>
      </c>
      <c r="B54" s="564" t="s">
        <v>113</v>
      </c>
      <c r="C54" s="563" t="s">
        <v>112</v>
      </c>
      <c r="D54" s="563" t="s">
        <v>111</v>
      </c>
      <c r="E54" s="563" t="s">
        <v>110</v>
      </c>
    </row>
    <row r="55" spans="1:5" s="536" customFormat="1" ht="16.5" customHeight="1" x14ac:dyDescent="0.3">
      <c r="A55" s="561">
        <v>1</v>
      </c>
      <c r="B55" s="562">
        <v>79793475</v>
      </c>
      <c r="C55" s="562">
        <v>14029.4</v>
      </c>
      <c r="D55" s="637">
        <v>1.1000000000000001</v>
      </c>
      <c r="E55" s="638">
        <v>5.9</v>
      </c>
    </row>
    <row r="56" spans="1:5" s="536" customFormat="1" ht="16.5" customHeight="1" x14ac:dyDescent="0.3">
      <c r="A56" s="561">
        <v>2</v>
      </c>
      <c r="B56" s="562">
        <v>79617073</v>
      </c>
      <c r="C56" s="562">
        <v>13987.3</v>
      </c>
      <c r="D56" s="637">
        <v>1.1000000000000001</v>
      </c>
      <c r="E56" s="637">
        <v>5.9</v>
      </c>
    </row>
    <row r="57" spans="1:5" s="536" customFormat="1" ht="16.5" customHeight="1" x14ac:dyDescent="0.3">
      <c r="A57" s="561">
        <v>3</v>
      </c>
      <c r="B57" s="562">
        <v>79634269</v>
      </c>
      <c r="C57" s="562">
        <v>14123.6</v>
      </c>
      <c r="D57" s="637">
        <v>1.1000000000000001</v>
      </c>
      <c r="E57" s="637">
        <v>5.9</v>
      </c>
    </row>
    <row r="58" spans="1:5" s="536" customFormat="1" ht="16.5" customHeight="1" x14ac:dyDescent="0.3">
      <c r="A58" s="561">
        <v>4</v>
      </c>
      <c r="B58" s="562">
        <v>80423714</v>
      </c>
      <c r="C58" s="562">
        <v>14189.1</v>
      </c>
      <c r="D58" s="637">
        <v>1.1000000000000001</v>
      </c>
      <c r="E58" s="637">
        <v>5.9</v>
      </c>
    </row>
    <row r="59" spans="1:5" s="536" customFormat="1" ht="16.5" customHeight="1" x14ac:dyDescent="0.3">
      <c r="A59" s="561">
        <v>5</v>
      </c>
      <c r="B59" s="562">
        <v>79755943</v>
      </c>
      <c r="C59" s="562">
        <v>14027.3</v>
      </c>
      <c r="D59" s="637">
        <v>1.1000000000000001</v>
      </c>
      <c r="E59" s="637">
        <v>5.9</v>
      </c>
    </row>
    <row r="60" spans="1:5" s="536" customFormat="1" ht="16.5" customHeight="1" x14ac:dyDescent="0.3">
      <c r="A60" s="561">
        <v>6</v>
      </c>
      <c r="B60" s="560">
        <v>80818587</v>
      </c>
      <c r="C60" s="639">
        <v>14058.4</v>
      </c>
      <c r="D60" s="639">
        <v>1.1000000000000001</v>
      </c>
      <c r="E60" s="639">
        <v>5.9</v>
      </c>
    </row>
    <row r="61" spans="1:5" s="536" customFormat="1" ht="16.5" customHeight="1" x14ac:dyDescent="0.3">
      <c r="A61" s="559" t="s">
        <v>109</v>
      </c>
      <c r="B61" s="558">
        <f>AVERAGE(B55:B60)</f>
        <v>80007176.833333328</v>
      </c>
      <c r="C61" s="557">
        <f>AVERAGE(C55:C60)</f>
        <v>14069.183333333332</v>
      </c>
      <c r="D61" s="556">
        <f>AVERAGE(D55:D60)</f>
        <v>1.0999999999999999</v>
      </c>
      <c r="E61" s="556">
        <f>AVERAGE(E55:E60)</f>
        <v>5.8999999999999995</v>
      </c>
    </row>
    <row r="62" spans="1:5" s="536" customFormat="1" ht="16.5" customHeight="1" x14ac:dyDescent="0.3">
      <c r="A62" s="555" t="s">
        <v>108</v>
      </c>
      <c r="B62" s="554">
        <f>(STDEV(B55:B60)/B61)</f>
        <v>6.2040733426816531E-3</v>
      </c>
      <c r="C62" s="553"/>
      <c r="D62" s="553"/>
      <c r="E62" s="552"/>
    </row>
    <row r="63" spans="1:5" s="536" customFormat="1" ht="16.5" customHeight="1" x14ac:dyDescent="0.3">
      <c r="A63" s="551" t="s">
        <v>3</v>
      </c>
      <c r="B63" s="550">
        <f>COUNT(B55:B60)</f>
        <v>6</v>
      </c>
      <c r="C63" s="549"/>
      <c r="D63" s="548"/>
      <c r="E63" s="547"/>
    </row>
    <row r="64" spans="1:5" s="536" customFormat="1" ht="16.5" customHeight="1" x14ac:dyDescent="0.3">
      <c r="A64" s="546"/>
      <c r="B64" s="546"/>
      <c r="C64" s="546"/>
      <c r="D64" s="546"/>
      <c r="E64" s="546"/>
    </row>
    <row r="65" spans="1:7" s="536" customFormat="1" ht="16.5" customHeight="1" x14ac:dyDescent="0.3">
      <c r="A65" s="545" t="s">
        <v>107</v>
      </c>
      <c r="B65" s="544" t="s">
        <v>106</v>
      </c>
      <c r="C65" s="543"/>
      <c r="D65" s="543"/>
      <c r="E65" s="543"/>
    </row>
    <row r="66" spans="1:7" s="536" customFormat="1" ht="16.5" customHeight="1" x14ac:dyDescent="0.3">
      <c r="A66" s="545"/>
      <c r="B66" s="544" t="s">
        <v>105</v>
      </c>
      <c r="C66" s="543"/>
      <c r="D66" s="543"/>
      <c r="E66" s="543"/>
    </row>
    <row r="67" spans="1:7" s="536" customFormat="1" ht="16.5" customHeight="1" x14ac:dyDescent="0.3">
      <c r="A67" s="545"/>
      <c r="B67" s="544" t="s">
        <v>104</v>
      </c>
      <c r="C67" s="543"/>
      <c r="D67" s="543"/>
      <c r="E67" s="543"/>
    </row>
    <row r="68" spans="1:7" s="536" customFormat="1" ht="16.5" customHeight="1" x14ac:dyDescent="0.3">
      <c r="A68" s="545"/>
      <c r="B68" s="544"/>
      <c r="C68" s="543"/>
      <c r="D68" s="543"/>
      <c r="E68" s="543"/>
    </row>
    <row r="69" spans="1:7" s="536" customFormat="1" ht="14.25" customHeight="1" thickBot="1" x14ac:dyDescent="0.35">
      <c r="A69" s="542"/>
      <c r="B69" s="541"/>
      <c r="D69" s="540"/>
      <c r="F69" s="679"/>
      <c r="G69" s="535"/>
    </row>
    <row r="70" spans="1:7" s="536" customFormat="1" ht="15" customHeight="1" x14ac:dyDescent="0.3">
      <c r="B70" s="755" t="s">
        <v>4</v>
      </c>
      <c r="C70" s="755"/>
      <c r="D70" s="697" t="s">
        <v>5</v>
      </c>
      <c r="E70" s="697" t="s">
        <v>6</v>
      </c>
      <c r="F70" s="678"/>
    </row>
    <row r="71" spans="1:7" s="536" customFormat="1" ht="15" customHeight="1" x14ac:dyDescent="0.3">
      <c r="A71" s="537" t="s">
        <v>7</v>
      </c>
      <c r="B71" s="675"/>
      <c r="C71" s="675"/>
      <c r="D71" s="675"/>
      <c r="E71" s="675"/>
    </row>
    <row r="72" spans="1:7" s="536" customFormat="1" ht="15" customHeight="1" x14ac:dyDescent="0.3">
      <c r="A72" s="537"/>
      <c r="B72" s="683"/>
      <c r="C72" s="683"/>
      <c r="D72" s="683"/>
      <c r="E72" s="683"/>
    </row>
    <row r="73" spans="1:7" s="536" customFormat="1" ht="15" customHeight="1" x14ac:dyDescent="0.3">
      <c r="A73" s="537" t="s">
        <v>8</v>
      </c>
      <c r="B73" s="682"/>
      <c r="C73" s="682"/>
      <c r="D73" s="682"/>
      <c r="E73" s="677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70:C70"/>
  </mergeCells>
  <printOptions horizontalCentered="1" verticalCentered="1"/>
  <pageMargins left="0.7" right="0.7" top="0.75" bottom="0.75" header="0.3" footer="0.3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view="pageBreakPreview" topLeftCell="A19" zoomScaleNormal="100" zoomScaleSheetLayoutView="100" workbookViewId="0">
      <selection activeCell="C18" sqref="C18"/>
    </sheetView>
  </sheetViews>
  <sheetFormatPr defaultColWidth="9.109375" defaultRowHeight="13.8" x14ac:dyDescent="0.3"/>
  <cols>
    <col min="1" max="1" width="27.5546875" style="536" customWidth="1"/>
    <col min="2" max="2" width="20.44140625" style="536" customWidth="1"/>
    <col min="3" max="3" width="31.88671875" style="536" customWidth="1"/>
    <col min="4" max="4" width="27.33203125" style="536" customWidth="1"/>
    <col min="5" max="5" width="25.6640625" style="536" customWidth="1"/>
    <col min="6" max="6" width="23.109375" style="536" customWidth="1"/>
    <col min="7" max="7" width="28.44140625" style="536" customWidth="1"/>
    <col min="8" max="8" width="21.5546875" style="536" customWidth="1"/>
    <col min="9" max="9" width="9.109375" style="536" customWidth="1"/>
    <col min="10" max="16384" width="9.109375" style="535"/>
  </cols>
  <sheetData>
    <row r="1" spans="1:6" ht="15" customHeight="1" x14ac:dyDescent="0.3">
      <c r="A1" s="572"/>
      <c r="C1" s="571"/>
      <c r="F1" s="571"/>
    </row>
    <row r="2" spans="1:6" ht="18.75" customHeight="1" x14ac:dyDescent="0.35">
      <c r="A2" s="754" t="s">
        <v>120</v>
      </c>
      <c r="B2" s="754"/>
      <c r="C2" s="754"/>
      <c r="D2" s="754"/>
      <c r="E2" s="754"/>
    </row>
    <row r="3" spans="1:6" ht="16.5" customHeight="1" x14ac:dyDescent="0.3">
      <c r="A3" s="568" t="s">
        <v>0</v>
      </c>
      <c r="B3" s="636" t="s">
        <v>119</v>
      </c>
    </row>
    <row r="4" spans="1:6" ht="16.5" customHeight="1" x14ac:dyDescent="0.3">
      <c r="A4" s="566" t="s">
        <v>118</v>
      </c>
      <c r="B4" s="673" t="s">
        <v>139</v>
      </c>
      <c r="D4" s="570"/>
      <c r="E4" s="546"/>
    </row>
    <row r="5" spans="1:6" ht="16.5" customHeight="1" x14ac:dyDescent="0.3">
      <c r="A5" s="545" t="s">
        <v>1</v>
      </c>
      <c r="B5" s="674" t="s">
        <v>134</v>
      </c>
      <c r="C5" s="546"/>
      <c r="D5" s="546"/>
      <c r="E5" s="546"/>
    </row>
    <row r="6" spans="1:6" ht="16.5" customHeight="1" x14ac:dyDescent="0.3">
      <c r="A6" s="545" t="s">
        <v>2</v>
      </c>
      <c r="B6" s="567">
        <v>98.8</v>
      </c>
      <c r="C6" s="546"/>
      <c r="D6" s="546"/>
      <c r="E6" s="546"/>
    </row>
    <row r="7" spans="1:6" ht="16.5" customHeight="1" x14ac:dyDescent="0.3">
      <c r="A7" s="566" t="s">
        <v>116</v>
      </c>
      <c r="B7" s="567">
        <v>15.66</v>
      </c>
      <c r="C7" s="546"/>
      <c r="D7" s="546"/>
      <c r="E7" s="546"/>
    </row>
    <row r="8" spans="1:6" ht="16.5" customHeight="1" x14ac:dyDescent="0.3">
      <c r="A8" s="566" t="s">
        <v>115</v>
      </c>
      <c r="B8" s="565">
        <f>B7/25*5/50</f>
        <v>6.2639999999999987E-2</v>
      </c>
      <c r="C8" s="546"/>
      <c r="D8" s="546"/>
      <c r="E8" s="546"/>
    </row>
    <row r="9" spans="1:6" ht="15.75" customHeight="1" x14ac:dyDescent="0.3">
      <c r="A9" s="546"/>
      <c r="B9" s="569"/>
      <c r="C9" s="546"/>
      <c r="D9" s="546"/>
      <c r="E9" s="546"/>
    </row>
    <row r="10" spans="1:6" ht="16.5" customHeight="1" x14ac:dyDescent="0.3">
      <c r="A10" s="563" t="s">
        <v>114</v>
      </c>
      <c r="B10" s="564" t="s">
        <v>113</v>
      </c>
      <c r="C10" s="563" t="s">
        <v>112</v>
      </c>
      <c r="D10" s="563" t="s">
        <v>111</v>
      </c>
      <c r="E10" s="563" t="s">
        <v>110</v>
      </c>
    </row>
    <row r="11" spans="1:6" ht="16.5" customHeight="1" x14ac:dyDescent="0.3">
      <c r="A11" s="561">
        <v>1</v>
      </c>
      <c r="B11" s="562">
        <v>12989431</v>
      </c>
      <c r="C11" s="562">
        <v>168103.9</v>
      </c>
      <c r="D11" s="637">
        <v>1.1000000000000001</v>
      </c>
      <c r="E11" s="638">
        <v>15.1</v>
      </c>
    </row>
    <row r="12" spans="1:6" ht="16.5" customHeight="1" x14ac:dyDescent="0.3">
      <c r="A12" s="561">
        <v>2</v>
      </c>
      <c r="B12" s="562">
        <v>12933420</v>
      </c>
      <c r="C12" s="637">
        <v>168953</v>
      </c>
      <c r="D12" s="637">
        <v>1.1000000000000001</v>
      </c>
      <c r="E12" s="637">
        <v>15.1</v>
      </c>
    </row>
    <row r="13" spans="1:6" ht="16.5" customHeight="1" x14ac:dyDescent="0.3">
      <c r="A13" s="561">
        <v>3</v>
      </c>
      <c r="B13" s="562">
        <v>12946994</v>
      </c>
      <c r="C13" s="562">
        <v>168196.9</v>
      </c>
      <c r="D13" s="637">
        <v>1.1000000000000001</v>
      </c>
      <c r="E13" s="637">
        <v>15.1</v>
      </c>
    </row>
    <row r="14" spans="1:6" ht="16.5" customHeight="1" x14ac:dyDescent="0.3">
      <c r="A14" s="561">
        <v>4</v>
      </c>
      <c r="B14" s="562">
        <v>12948055</v>
      </c>
      <c r="C14" s="637">
        <v>168815</v>
      </c>
      <c r="D14" s="637">
        <v>1.1000000000000001</v>
      </c>
      <c r="E14" s="637">
        <v>15.1</v>
      </c>
    </row>
    <row r="15" spans="1:6" ht="16.5" customHeight="1" x14ac:dyDescent="0.3">
      <c r="A15" s="561">
        <v>5</v>
      </c>
      <c r="B15" s="562">
        <v>12965307</v>
      </c>
      <c r="C15" s="562">
        <v>168063.1</v>
      </c>
      <c r="D15" s="637">
        <v>1.1000000000000001</v>
      </c>
      <c r="E15" s="637">
        <v>15.1</v>
      </c>
    </row>
    <row r="16" spans="1:6" ht="16.5" customHeight="1" x14ac:dyDescent="0.3">
      <c r="A16" s="561">
        <v>6</v>
      </c>
      <c r="B16" s="560">
        <v>13034559</v>
      </c>
      <c r="C16" s="560">
        <v>167938.7</v>
      </c>
      <c r="D16" s="639">
        <v>1.1000000000000001</v>
      </c>
      <c r="E16" s="639">
        <v>15.1</v>
      </c>
    </row>
    <row r="17" spans="1:5" ht="16.5" customHeight="1" x14ac:dyDescent="0.3">
      <c r="A17" s="559" t="s">
        <v>109</v>
      </c>
      <c r="B17" s="558">
        <f>AVERAGE(B11:B16)</f>
        <v>12969627.666666666</v>
      </c>
      <c r="C17" s="557">
        <f>AVERAGE(C11:C16)</f>
        <v>168345.1</v>
      </c>
      <c r="D17" s="556">
        <f>AVERAGE(D11:D16)</f>
        <v>1.0999999999999999</v>
      </c>
      <c r="E17" s="556">
        <f>AVERAGE(E11:E16)</f>
        <v>15.1</v>
      </c>
    </row>
    <row r="18" spans="1:5" ht="16.5" customHeight="1" x14ac:dyDescent="0.3">
      <c r="A18" s="555" t="s">
        <v>108</v>
      </c>
      <c r="B18" s="554">
        <f>(STDEV(B11:B16)/B17)</f>
        <v>2.8674884254837611E-3</v>
      </c>
      <c r="C18" s="553"/>
      <c r="D18" s="553"/>
      <c r="E18" s="552"/>
    </row>
    <row r="19" spans="1:5" s="536" customFormat="1" ht="16.5" customHeight="1" x14ac:dyDescent="0.3">
      <c r="A19" s="551" t="s">
        <v>3</v>
      </c>
      <c r="B19" s="550">
        <f>COUNT(B11:B16)</f>
        <v>6</v>
      </c>
      <c r="C19" s="549"/>
      <c r="D19" s="548"/>
      <c r="E19" s="547"/>
    </row>
    <row r="20" spans="1:5" s="536" customFormat="1" ht="15.75" customHeight="1" x14ac:dyDescent="0.3">
      <c r="A20" s="546"/>
      <c r="B20" s="546"/>
      <c r="C20" s="546"/>
      <c r="D20" s="546"/>
      <c r="E20" s="546"/>
    </row>
    <row r="21" spans="1:5" s="536" customFormat="1" ht="16.5" customHeight="1" x14ac:dyDescent="0.3">
      <c r="A21" s="545" t="s">
        <v>107</v>
      </c>
      <c r="B21" s="544" t="s">
        <v>106</v>
      </c>
      <c r="C21" s="543"/>
      <c r="D21" s="543"/>
      <c r="E21" s="543"/>
    </row>
    <row r="22" spans="1:5" ht="16.5" customHeight="1" x14ac:dyDescent="0.3">
      <c r="A22" s="545"/>
      <c r="B22" s="544" t="s">
        <v>105</v>
      </c>
      <c r="C22" s="543"/>
      <c r="D22" s="543"/>
      <c r="E22" s="543"/>
    </row>
    <row r="23" spans="1:5" ht="16.5" customHeight="1" x14ac:dyDescent="0.3">
      <c r="A23" s="545"/>
      <c r="B23" s="544" t="s">
        <v>104</v>
      </c>
      <c r="C23" s="543"/>
      <c r="D23" s="543"/>
      <c r="E23" s="543"/>
    </row>
    <row r="24" spans="1:5" ht="15.75" customHeight="1" x14ac:dyDescent="0.3">
      <c r="A24" s="546"/>
      <c r="B24" s="546"/>
      <c r="C24" s="546"/>
      <c r="D24" s="546"/>
      <c r="E24" s="546"/>
    </row>
    <row r="25" spans="1:5" ht="16.5" customHeight="1" x14ac:dyDescent="0.3">
      <c r="A25" s="568" t="s">
        <v>0</v>
      </c>
      <c r="B25" s="700" t="s">
        <v>140</v>
      </c>
    </row>
    <row r="26" spans="1:5" ht="16.5" customHeight="1" x14ac:dyDescent="0.3">
      <c r="A26" s="545" t="s">
        <v>1</v>
      </c>
      <c r="B26" s="674" t="str">
        <f>B5</f>
        <v>Tenofovir Disoproxil Fumarate</v>
      </c>
      <c r="C26" s="546"/>
      <c r="D26" s="546"/>
      <c r="E26" s="546"/>
    </row>
    <row r="27" spans="1:5" ht="16.5" customHeight="1" x14ac:dyDescent="0.3">
      <c r="A27" s="545" t="s">
        <v>2</v>
      </c>
      <c r="B27" s="567">
        <v>98.8</v>
      </c>
      <c r="C27" s="546"/>
      <c r="D27" s="546"/>
      <c r="E27" s="546"/>
    </row>
    <row r="28" spans="1:5" ht="16.5" customHeight="1" x14ac:dyDescent="0.3">
      <c r="A28" s="566" t="s">
        <v>116</v>
      </c>
      <c r="B28" s="567">
        <v>16.48</v>
      </c>
      <c r="C28" s="546"/>
      <c r="D28" s="546"/>
      <c r="E28" s="546"/>
    </row>
    <row r="29" spans="1:5" ht="16.5" customHeight="1" x14ac:dyDescent="0.3">
      <c r="A29" s="566" t="s">
        <v>115</v>
      </c>
      <c r="B29" s="565">
        <f>B28/25*10/20</f>
        <v>0.3296</v>
      </c>
      <c r="C29" s="546"/>
      <c r="D29" s="546"/>
      <c r="E29" s="546"/>
    </row>
    <row r="30" spans="1:5" ht="15.75" customHeight="1" x14ac:dyDescent="0.3">
      <c r="A30" s="546"/>
      <c r="B30" s="546"/>
      <c r="C30" s="546"/>
      <c r="D30" s="546"/>
      <c r="E30" s="546"/>
    </row>
    <row r="31" spans="1:5" ht="16.5" customHeight="1" x14ac:dyDescent="0.3">
      <c r="A31" s="563" t="s">
        <v>114</v>
      </c>
      <c r="B31" s="564" t="s">
        <v>113</v>
      </c>
      <c r="C31" s="563" t="s">
        <v>112</v>
      </c>
      <c r="D31" s="563" t="s">
        <v>111</v>
      </c>
      <c r="E31" s="563" t="s">
        <v>110</v>
      </c>
    </row>
    <row r="32" spans="1:5" ht="16.5" customHeight="1" x14ac:dyDescent="0.3">
      <c r="A32" s="561">
        <v>1</v>
      </c>
      <c r="B32" s="562">
        <v>66515987</v>
      </c>
      <c r="C32" s="637">
        <v>153930.29999999999</v>
      </c>
      <c r="D32" s="637">
        <v>1.1000000000000001</v>
      </c>
      <c r="E32" s="638">
        <v>15.4</v>
      </c>
    </row>
    <row r="33" spans="1:7" ht="16.5" customHeight="1" x14ac:dyDescent="0.3">
      <c r="A33" s="561">
        <v>2</v>
      </c>
      <c r="B33" s="562">
        <v>65112297</v>
      </c>
      <c r="C33" s="562">
        <v>153318.5</v>
      </c>
      <c r="D33" s="637">
        <v>1.2</v>
      </c>
      <c r="E33" s="637">
        <v>15.4</v>
      </c>
    </row>
    <row r="34" spans="1:7" ht="16.5" customHeight="1" x14ac:dyDescent="0.3">
      <c r="A34" s="561">
        <v>3</v>
      </c>
      <c r="B34" s="562">
        <v>64940332</v>
      </c>
      <c r="C34" s="562">
        <v>154152.9</v>
      </c>
      <c r="D34" s="637">
        <v>1.1000000000000001</v>
      </c>
      <c r="E34" s="637">
        <v>15.4</v>
      </c>
    </row>
    <row r="35" spans="1:7" ht="16.5" customHeight="1" x14ac:dyDescent="0.3">
      <c r="A35" s="561">
        <v>4</v>
      </c>
      <c r="B35" s="562">
        <v>65119629</v>
      </c>
      <c r="C35" s="562">
        <v>153605.4</v>
      </c>
      <c r="D35" s="637">
        <v>1.2</v>
      </c>
      <c r="E35" s="637">
        <v>15.4</v>
      </c>
    </row>
    <row r="36" spans="1:7" ht="16.5" customHeight="1" x14ac:dyDescent="0.3">
      <c r="A36" s="561">
        <v>5</v>
      </c>
      <c r="B36" s="562">
        <v>65904855</v>
      </c>
      <c r="C36" s="562">
        <v>153495.9</v>
      </c>
      <c r="D36" s="637">
        <v>1.2</v>
      </c>
      <c r="E36" s="637">
        <v>15.4</v>
      </c>
    </row>
    <row r="37" spans="1:7" ht="16.5" customHeight="1" x14ac:dyDescent="0.3">
      <c r="A37" s="561">
        <v>6</v>
      </c>
      <c r="B37" s="560">
        <v>66364008</v>
      </c>
      <c r="C37" s="560">
        <v>155618.9</v>
      </c>
      <c r="D37" s="639">
        <v>1.1000000000000001</v>
      </c>
      <c r="E37" s="639">
        <v>15.4</v>
      </c>
    </row>
    <row r="38" spans="1:7" ht="16.5" customHeight="1" x14ac:dyDescent="0.3">
      <c r="A38" s="559" t="s">
        <v>109</v>
      </c>
      <c r="B38" s="558">
        <f>AVERAGE(B32:B37)</f>
        <v>65659518</v>
      </c>
      <c r="C38" s="557">
        <f>AVERAGE(C32:C37)</f>
        <v>154020.31666666668</v>
      </c>
      <c r="D38" s="556">
        <f>AVERAGE(D32:D37)</f>
        <v>1.1500000000000001</v>
      </c>
      <c r="E38" s="556">
        <f>AVERAGE(E32:E37)</f>
        <v>15.4</v>
      </c>
    </row>
    <row r="39" spans="1:7" ht="16.5" customHeight="1" x14ac:dyDescent="0.3">
      <c r="A39" s="555" t="s">
        <v>108</v>
      </c>
      <c r="B39" s="554">
        <f>(STDEV(B32:B37)/B38)</f>
        <v>1.0547743376227088E-2</v>
      </c>
      <c r="C39" s="553"/>
      <c r="D39" s="553"/>
      <c r="E39" s="552"/>
    </row>
    <row r="40" spans="1:7" s="536" customFormat="1" ht="16.5" customHeight="1" x14ac:dyDescent="0.3">
      <c r="A40" s="551" t="s">
        <v>3</v>
      </c>
      <c r="B40" s="550">
        <f>COUNT(B32:B37)</f>
        <v>6</v>
      </c>
      <c r="C40" s="549"/>
      <c r="D40" s="548"/>
      <c r="E40" s="547"/>
    </row>
    <row r="41" spans="1:7" s="536" customFormat="1" ht="15.75" customHeight="1" x14ac:dyDescent="0.3">
      <c r="A41" s="546"/>
      <c r="B41" s="546"/>
      <c r="C41" s="546"/>
      <c r="D41" s="546"/>
      <c r="E41" s="546"/>
    </row>
    <row r="42" spans="1:7" s="536" customFormat="1" ht="16.5" customHeight="1" x14ac:dyDescent="0.3">
      <c r="A42" s="545" t="s">
        <v>107</v>
      </c>
      <c r="B42" s="544" t="s">
        <v>106</v>
      </c>
      <c r="C42" s="543"/>
      <c r="D42" s="543"/>
      <c r="E42" s="543"/>
    </row>
    <row r="43" spans="1:7" ht="16.5" customHeight="1" x14ac:dyDescent="0.3">
      <c r="A43" s="545"/>
      <c r="B43" s="544" t="s">
        <v>105</v>
      </c>
      <c r="C43" s="543"/>
      <c r="D43" s="543"/>
      <c r="E43" s="543"/>
    </row>
    <row r="44" spans="1:7" ht="16.5" customHeight="1" x14ac:dyDescent="0.3">
      <c r="A44" s="545"/>
      <c r="B44" s="544" t="s">
        <v>104</v>
      </c>
      <c r="C44" s="543"/>
      <c r="D44" s="543"/>
      <c r="E44" s="543"/>
    </row>
    <row r="45" spans="1:7" ht="14.25" customHeight="1" thickBot="1" x14ac:dyDescent="0.35">
      <c r="A45" s="712"/>
      <c r="B45" s="713"/>
      <c r="C45" s="712"/>
      <c r="D45" s="714"/>
      <c r="E45" s="712"/>
      <c r="F45" s="679"/>
      <c r="G45" s="535"/>
    </row>
    <row r="46" spans="1:7" ht="14.25" customHeight="1" x14ac:dyDescent="0.3">
      <c r="A46" s="675"/>
      <c r="B46" s="541"/>
      <c r="D46" s="711"/>
      <c r="F46" s="679"/>
      <c r="G46" s="535"/>
    </row>
    <row r="47" spans="1:7" ht="14.25" customHeight="1" x14ac:dyDescent="0.3">
      <c r="A47" s="568" t="s">
        <v>0</v>
      </c>
      <c r="B47" s="710" t="s">
        <v>141</v>
      </c>
      <c r="F47" s="679"/>
      <c r="G47" s="535"/>
    </row>
    <row r="48" spans="1:7" ht="14.25" customHeight="1" x14ac:dyDescent="0.3">
      <c r="A48" s="545" t="s">
        <v>1</v>
      </c>
      <c r="B48" s="674" t="str">
        <f>B26</f>
        <v>Tenofovir Disoproxil Fumarate</v>
      </c>
      <c r="C48" s="546"/>
      <c r="D48" s="546"/>
      <c r="E48" s="546"/>
      <c r="F48" s="679"/>
      <c r="G48" s="535"/>
    </row>
    <row r="49" spans="1:7" ht="14.25" customHeight="1" x14ac:dyDescent="0.3">
      <c r="A49" s="545" t="s">
        <v>2</v>
      </c>
      <c r="B49" s="567">
        <v>98.8</v>
      </c>
      <c r="C49" s="546"/>
      <c r="D49" s="546"/>
      <c r="E49" s="546"/>
      <c r="F49" s="679"/>
      <c r="G49" s="535"/>
    </row>
    <row r="50" spans="1:7" ht="14.25" customHeight="1" x14ac:dyDescent="0.3">
      <c r="A50" s="566" t="s">
        <v>116</v>
      </c>
      <c r="B50" s="567">
        <f>14.87</f>
        <v>14.87</v>
      </c>
      <c r="C50" s="546"/>
      <c r="D50" s="546"/>
      <c r="E50" s="546"/>
      <c r="F50" s="679"/>
      <c r="G50" s="535"/>
    </row>
    <row r="51" spans="1:7" ht="14.25" customHeight="1" x14ac:dyDescent="0.3">
      <c r="A51" s="566" t="s">
        <v>115</v>
      </c>
      <c r="B51" s="565">
        <f>B50/25*10/20</f>
        <v>0.2974</v>
      </c>
      <c r="C51" s="546"/>
      <c r="D51" s="546"/>
      <c r="E51" s="546"/>
      <c r="F51" s="679"/>
      <c r="G51" s="535"/>
    </row>
    <row r="52" spans="1:7" ht="14.25" customHeight="1" x14ac:dyDescent="0.3">
      <c r="A52" s="546"/>
      <c r="B52" s="546"/>
      <c r="C52" s="546"/>
      <c r="D52" s="546"/>
      <c r="E52" s="546"/>
      <c r="F52" s="679"/>
      <c r="G52" s="535"/>
    </row>
    <row r="53" spans="1:7" ht="14.25" customHeight="1" x14ac:dyDescent="0.3">
      <c r="A53" s="563" t="s">
        <v>114</v>
      </c>
      <c r="B53" s="564" t="s">
        <v>113</v>
      </c>
      <c r="C53" s="563" t="s">
        <v>112</v>
      </c>
      <c r="D53" s="563" t="s">
        <v>111</v>
      </c>
      <c r="E53" s="563" t="s">
        <v>110</v>
      </c>
      <c r="F53" s="679"/>
      <c r="G53" s="535"/>
    </row>
    <row r="54" spans="1:7" ht="14.25" customHeight="1" x14ac:dyDescent="0.3">
      <c r="A54" s="561">
        <v>1</v>
      </c>
      <c r="B54" s="562">
        <v>59714908</v>
      </c>
      <c r="C54" s="637">
        <v>151961.5</v>
      </c>
      <c r="D54" s="637">
        <v>1.1000000000000001</v>
      </c>
      <c r="E54" s="638">
        <v>15.4</v>
      </c>
      <c r="F54" s="679"/>
      <c r="G54" s="535"/>
    </row>
    <row r="55" spans="1:7" ht="14.25" customHeight="1" x14ac:dyDescent="0.3">
      <c r="A55" s="561">
        <v>2</v>
      </c>
      <c r="B55" s="562">
        <v>59461594</v>
      </c>
      <c r="C55" s="562">
        <v>152753.9</v>
      </c>
      <c r="D55" s="637">
        <v>1.1000000000000001</v>
      </c>
      <c r="E55" s="637">
        <v>15.4</v>
      </c>
      <c r="F55" s="679"/>
      <c r="G55" s="535"/>
    </row>
    <row r="56" spans="1:7" ht="14.25" customHeight="1" x14ac:dyDescent="0.3">
      <c r="A56" s="561">
        <v>3</v>
      </c>
      <c r="B56" s="562">
        <v>59411403</v>
      </c>
      <c r="C56" s="562">
        <v>152155.6</v>
      </c>
      <c r="D56" s="637">
        <v>1.2</v>
      </c>
      <c r="E56" s="637">
        <v>15.4</v>
      </c>
      <c r="F56" s="679"/>
      <c r="G56" s="535"/>
    </row>
    <row r="57" spans="1:7" ht="14.25" customHeight="1" x14ac:dyDescent="0.3">
      <c r="A57" s="561">
        <v>4</v>
      </c>
      <c r="B57" s="562">
        <v>60098331</v>
      </c>
      <c r="C57" s="562">
        <v>153150.9</v>
      </c>
      <c r="D57" s="637">
        <v>1.1000000000000001</v>
      </c>
      <c r="E57" s="637">
        <v>15.4</v>
      </c>
      <c r="F57" s="679"/>
      <c r="G57" s="535"/>
    </row>
    <row r="58" spans="1:7" ht="14.25" customHeight="1" x14ac:dyDescent="0.3">
      <c r="A58" s="561">
        <v>5</v>
      </c>
      <c r="B58" s="562">
        <v>59579301</v>
      </c>
      <c r="C58" s="562">
        <v>153066.20000000001</v>
      </c>
      <c r="D58" s="637">
        <v>1.1000000000000001</v>
      </c>
      <c r="E58" s="637">
        <v>15.4</v>
      </c>
      <c r="F58" s="679"/>
      <c r="G58" s="535"/>
    </row>
    <row r="59" spans="1:7" ht="14.25" customHeight="1" x14ac:dyDescent="0.3">
      <c r="A59" s="561">
        <v>6</v>
      </c>
      <c r="B59" s="560">
        <v>60377925</v>
      </c>
      <c r="C59" s="560">
        <v>152198.79999999999</v>
      </c>
      <c r="D59" s="639">
        <v>1.2</v>
      </c>
      <c r="E59" s="639">
        <v>15.4</v>
      </c>
      <c r="F59" s="679"/>
      <c r="G59" s="535"/>
    </row>
    <row r="60" spans="1:7" ht="14.25" customHeight="1" x14ac:dyDescent="0.3">
      <c r="A60" s="559" t="s">
        <v>109</v>
      </c>
      <c r="B60" s="558">
        <f>AVERAGE(B54:B59)</f>
        <v>59773910.333333336</v>
      </c>
      <c r="C60" s="557">
        <f>AVERAGE(C54:C59)</f>
        <v>152547.81666666668</v>
      </c>
      <c r="D60" s="556">
        <f>AVERAGE(D54:D59)</f>
        <v>1.1333333333333333</v>
      </c>
      <c r="E60" s="556">
        <f>AVERAGE(E54:E59)</f>
        <v>15.4</v>
      </c>
      <c r="F60" s="679"/>
      <c r="G60" s="535"/>
    </row>
    <row r="61" spans="1:7" ht="14.25" customHeight="1" x14ac:dyDescent="0.3">
      <c r="A61" s="555" t="s">
        <v>108</v>
      </c>
      <c r="B61" s="554">
        <f>(STDEV(B54:B59)/B60)</f>
        <v>6.4377408287970058E-3</v>
      </c>
      <c r="C61" s="553"/>
      <c r="D61" s="553"/>
      <c r="E61" s="552"/>
      <c r="F61" s="679"/>
      <c r="G61" s="535"/>
    </row>
    <row r="62" spans="1:7" ht="14.25" customHeight="1" x14ac:dyDescent="0.3">
      <c r="A62" s="551" t="s">
        <v>3</v>
      </c>
      <c r="B62" s="550">
        <f>COUNT(B54:B59)</f>
        <v>6</v>
      </c>
      <c r="C62" s="549"/>
      <c r="D62" s="548"/>
      <c r="E62" s="547"/>
      <c r="F62" s="679"/>
      <c r="G62" s="535"/>
    </row>
    <row r="63" spans="1:7" ht="14.25" customHeight="1" x14ac:dyDescent="0.3">
      <c r="A63" s="546"/>
      <c r="B63" s="546"/>
      <c r="C63" s="546"/>
      <c r="D63" s="546"/>
      <c r="E63" s="546"/>
      <c r="F63" s="679"/>
      <c r="G63" s="535"/>
    </row>
    <row r="64" spans="1:7" ht="14.25" customHeight="1" x14ac:dyDescent="0.3">
      <c r="A64" s="545" t="s">
        <v>107</v>
      </c>
      <c r="B64" s="544" t="s">
        <v>106</v>
      </c>
      <c r="C64" s="543"/>
      <c r="D64" s="543"/>
      <c r="E64" s="543"/>
      <c r="F64" s="679"/>
      <c r="G64" s="535"/>
    </row>
    <row r="65" spans="1:7" ht="14.25" customHeight="1" x14ac:dyDescent="0.3">
      <c r="A65" s="545"/>
      <c r="B65" s="544" t="s">
        <v>105</v>
      </c>
      <c r="C65" s="543"/>
      <c r="D65" s="543"/>
      <c r="E65" s="543"/>
      <c r="F65" s="679"/>
      <c r="G65" s="535"/>
    </row>
    <row r="66" spans="1:7" ht="14.25" customHeight="1" x14ac:dyDescent="0.3">
      <c r="A66" s="545"/>
      <c r="B66" s="544" t="s">
        <v>104</v>
      </c>
      <c r="C66" s="543"/>
      <c r="D66" s="543"/>
      <c r="E66" s="543"/>
      <c r="F66" s="679"/>
      <c r="G66" s="535"/>
    </row>
    <row r="67" spans="1:7" ht="14.25" customHeight="1" thickBot="1" x14ac:dyDescent="0.35">
      <c r="A67" s="712"/>
      <c r="B67" s="713"/>
      <c r="C67" s="712"/>
      <c r="D67" s="714"/>
      <c r="E67" s="712"/>
      <c r="F67" s="679"/>
      <c r="G67" s="535"/>
    </row>
    <row r="68" spans="1:7" ht="14.25" customHeight="1" x14ac:dyDescent="0.3">
      <c r="A68" s="675"/>
      <c r="B68" s="541"/>
      <c r="D68" s="711"/>
      <c r="F68" s="679"/>
      <c r="G68" s="535"/>
    </row>
    <row r="69" spans="1:7" ht="15" customHeight="1" x14ac:dyDescent="0.3">
      <c r="B69" s="756" t="s">
        <v>4</v>
      </c>
      <c r="C69" s="756"/>
      <c r="D69" s="684" t="s">
        <v>5</v>
      </c>
      <c r="E69" s="684" t="s">
        <v>6</v>
      </c>
      <c r="F69" s="678"/>
    </row>
    <row r="70" spans="1:7" ht="15" customHeight="1" x14ac:dyDescent="0.3">
      <c r="A70" s="537" t="s">
        <v>7</v>
      </c>
      <c r="B70" s="677"/>
      <c r="C70" s="677"/>
      <c r="D70" s="677"/>
      <c r="E70" s="677"/>
    </row>
    <row r="71" spans="1:7" ht="15" customHeight="1" x14ac:dyDescent="0.3">
      <c r="A71" s="537"/>
      <c r="B71" s="675"/>
      <c r="C71" s="675"/>
      <c r="D71" s="675"/>
      <c r="E71" s="675"/>
    </row>
    <row r="72" spans="1:7" ht="15" customHeight="1" x14ac:dyDescent="0.3">
      <c r="A72" s="537" t="s">
        <v>8</v>
      </c>
      <c r="B72" s="676"/>
      <c r="C72" s="676"/>
      <c r="D72" s="676"/>
      <c r="E72" s="53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69:C69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view="pageBreakPreview" zoomScaleNormal="100" zoomScaleSheetLayoutView="100" workbookViewId="0">
      <selection activeCell="E65" sqref="E65"/>
    </sheetView>
  </sheetViews>
  <sheetFormatPr defaultColWidth="9.109375" defaultRowHeight="13.8" x14ac:dyDescent="0.3"/>
  <cols>
    <col min="1" max="1" width="27.5546875" style="536" customWidth="1"/>
    <col min="2" max="2" width="20.44140625" style="536" customWidth="1"/>
    <col min="3" max="3" width="31.88671875" style="536" customWidth="1"/>
    <col min="4" max="4" width="25.88671875" style="536" customWidth="1"/>
    <col min="5" max="5" width="25.6640625" style="536" customWidth="1"/>
    <col min="6" max="6" width="23.109375" style="536" customWidth="1"/>
    <col min="7" max="7" width="28.44140625" style="536" customWidth="1"/>
    <col min="8" max="8" width="21.5546875" style="536" customWidth="1"/>
    <col min="9" max="9" width="9.109375" style="536" customWidth="1"/>
    <col min="10" max="16384" width="9.109375" style="535"/>
  </cols>
  <sheetData>
    <row r="1" spans="1:6" s="536" customFormat="1" ht="15" customHeight="1" x14ac:dyDescent="0.3">
      <c r="A1" s="572"/>
      <c r="C1" s="571"/>
      <c r="F1" s="571"/>
    </row>
    <row r="2" spans="1:6" s="536" customFormat="1" ht="18.75" customHeight="1" x14ac:dyDescent="0.35">
      <c r="A2" s="754" t="s">
        <v>120</v>
      </c>
      <c r="B2" s="754"/>
      <c r="C2" s="754"/>
      <c r="D2" s="754"/>
      <c r="E2" s="754"/>
    </row>
    <row r="3" spans="1:6" s="536" customFormat="1" ht="16.5" customHeight="1" x14ac:dyDescent="0.3">
      <c r="A3" s="568" t="s">
        <v>0</v>
      </c>
      <c r="B3" s="636" t="s">
        <v>119</v>
      </c>
    </row>
    <row r="4" spans="1:6" s="536" customFormat="1" ht="16.5" customHeight="1" x14ac:dyDescent="0.3">
      <c r="A4" s="566" t="s">
        <v>118</v>
      </c>
      <c r="B4" s="673" t="s">
        <v>139</v>
      </c>
      <c r="D4" s="570"/>
      <c r="E4" s="546"/>
    </row>
    <row r="5" spans="1:6" s="536" customFormat="1" ht="16.5" customHeight="1" x14ac:dyDescent="0.3">
      <c r="A5" s="545" t="s">
        <v>1</v>
      </c>
      <c r="B5" s="673" t="s">
        <v>136</v>
      </c>
      <c r="C5" s="546"/>
      <c r="D5" s="546"/>
      <c r="E5" s="546"/>
    </row>
    <row r="6" spans="1:6" s="536" customFormat="1" ht="16.5" customHeight="1" x14ac:dyDescent="0.3">
      <c r="A6" s="545" t="s">
        <v>2</v>
      </c>
      <c r="B6" s="686">
        <v>99.3</v>
      </c>
      <c r="C6" s="546"/>
      <c r="D6" s="546"/>
      <c r="E6" s="546"/>
    </row>
    <row r="7" spans="1:6" s="536" customFormat="1" ht="16.5" customHeight="1" x14ac:dyDescent="0.3">
      <c r="A7" s="566" t="s">
        <v>116</v>
      </c>
      <c r="B7" s="685">
        <v>29.35</v>
      </c>
      <c r="C7" s="546"/>
      <c r="D7" s="546"/>
      <c r="E7" s="546"/>
    </row>
    <row r="8" spans="1:6" s="536" customFormat="1" ht="16.5" customHeight="1" x14ac:dyDescent="0.3">
      <c r="A8" s="566" t="s">
        <v>115</v>
      </c>
      <c r="B8" s="687">
        <f>B7/25*5/50</f>
        <v>0.11740000000000002</v>
      </c>
      <c r="C8" s="546"/>
      <c r="D8" s="546"/>
      <c r="E8" s="546"/>
    </row>
    <row r="9" spans="1:6" s="536" customFormat="1" ht="15.75" customHeight="1" x14ac:dyDescent="0.3">
      <c r="A9" s="546"/>
      <c r="B9" s="569"/>
      <c r="C9" s="546"/>
      <c r="D9" s="546"/>
      <c r="E9" s="546"/>
    </row>
    <row r="10" spans="1:6" s="536" customFormat="1" ht="16.5" customHeight="1" x14ac:dyDescent="0.3">
      <c r="A10" s="563" t="s">
        <v>114</v>
      </c>
      <c r="B10" s="564" t="s">
        <v>113</v>
      </c>
      <c r="C10" s="563" t="s">
        <v>112</v>
      </c>
      <c r="D10" s="563" t="s">
        <v>111</v>
      </c>
      <c r="E10" s="563" t="s">
        <v>110</v>
      </c>
    </row>
    <row r="11" spans="1:6" s="536" customFormat="1" ht="16.5" customHeight="1" x14ac:dyDescent="0.3">
      <c r="A11" s="561">
        <v>1</v>
      </c>
      <c r="B11" s="562">
        <v>45820174</v>
      </c>
      <c r="C11" s="637">
        <v>152797</v>
      </c>
      <c r="D11" s="637">
        <v>1.1000000000000001</v>
      </c>
      <c r="E11" s="638">
        <v>21.9</v>
      </c>
    </row>
    <row r="12" spans="1:6" s="536" customFormat="1" ht="16.5" customHeight="1" x14ac:dyDescent="0.3">
      <c r="A12" s="561">
        <v>2</v>
      </c>
      <c r="B12" s="562">
        <v>45629637</v>
      </c>
      <c r="C12" s="637">
        <v>153261.4</v>
      </c>
      <c r="D12" s="637">
        <v>1</v>
      </c>
      <c r="E12" s="637">
        <v>21.9</v>
      </c>
    </row>
    <row r="13" spans="1:6" s="536" customFormat="1" ht="16.5" customHeight="1" x14ac:dyDescent="0.3">
      <c r="A13" s="561">
        <v>3</v>
      </c>
      <c r="B13" s="562">
        <v>45688883</v>
      </c>
      <c r="C13" s="637">
        <v>153184.5</v>
      </c>
      <c r="D13" s="637">
        <v>1</v>
      </c>
      <c r="E13" s="637">
        <v>21.9</v>
      </c>
    </row>
    <row r="14" spans="1:6" s="536" customFormat="1" ht="16.5" customHeight="1" x14ac:dyDescent="0.3">
      <c r="A14" s="561">
        <v>4</v>
      </c>
      <c r="B14" s="562">
        <v>45695210</v>
      </c>
      <c r="C14" s="637">
        <v>153070.39999999999</v>
      </c>
      <c r="D14" s="637">
        <v>1</v>
      </c>
      <c r="E14" s="637">
        <v>21.9</v>
      </c>
    </row>
    <row r="15" spans="1:6" s="536" customFormat="1" ht="16.5" customHeight="1" x14ac:dyDescent="0.3">
      <c r="A15" s="561">
        <v>5</v>
      </c>
      <c r="B15" s="562">
        <v>45743469</v>
      </c>
      <c r="C15" s="637">
        <v>153260.4</v>
      </c>
      <c r="D15" s="637">
        <v>1.1000000000000001</v>
      </c>
      <c r="E15" s="637">
        <v>21.9</v>
      </c>
    </row>
    <row r="16" spans="1:6" s="536" customFormat="1" ht="16.5" customHeight="1" x14ac:dyDescent="0.3">
      <c r="A16" s="561">
        <v>6</v>
      </c>
      <c r="B16" s="560">
        <v>45982179</v>
      </c>
      <c r="C16" s="639">
        <v>153373.70000000001</v>
      </c>
      <c r="D16" s="639">
        <v>1</v>
      </c>
      <c r="E16" s="639">
        <v>21.9</v>
      </c>
    </row>
    <row r="17" spans="1:5" s="536" customFormat="1" ht="16.5" customHeight="1" x14ac:dyDescent="0.3">
      <c r="A17" s="559" t="s">
        <v>109</v>
      </c>
      <c r="B17" s="558">
        <f>AVERAGE(B11:B16)</f>
        <v>45759925.333333336</v>
      </c>
      <c r="C17" s="557">
        <f>AVERAGE(C11:C16)</f>
        <v>153157.90000000002</v>
      </c>
      <c r="D17" s="556">
        <f>AVERAGE(D11:D16)</f>
        <v>1.0333333333333332</v>
      </c>
      <c r="E17" s="556">
        <f>AVERAGE(E11:E16)</f>
        <v>21.900000000000002</v>
      </c>
    </row>
    <row r="18" spans="1:5" s="536" customFormat="1" ht="16.5" customHeight="1" x14ac:dyDescent="0.3">
      <c r="A18" s="555" t="s">
        <v>108</v>
      </c>
      <c r="B18" s="554">
        <f>(STDEV(B11:B16)/B17)</f>
        <v>2.7557121776182808E-3</v>
      </c>
      <c r="C18" s="553"/>
      <c r="D18" s="553"/>
      <c r="E18" s="552"/>
    </row>
    <row r="19" spans="1:5" s="536" customFormat="1" ht="16.5" customHeight="1" x14ac:dyDescent="0.3">
      <c r="A19" s="551" t="s">
        <v>3</v>
      </c>
      <c r="B19" s="550">
        <f>COUNT(B11:B16)</f>
        <v>6</v>
      </c>
      <c r="C19" s="549"/>
      <c r="D19" s="548"/>
      <c r="E19" s="547"/>
    </row>
    <row r="20" spans="1:5" s="536" customFormat="1" ht="15.75" customHeight="1" x14ac:dyDescent="0.3">
      <c r="A20" s="546"/>
      <c r="B20" s="546"/>
      <c r="C20" s="546"/>
      <c r="D20" s="546"/>
      <c r="E20" s="546"/>
    </row>
    <row r="21" spans="1:5" s="536" customFormat="1" ht="16.5" customHeight="1" x14ac:dyDescent="0.3">
      <c r="A21" s="545" t="s">
        <v>107</v>
      </c>
      <c r="B21" s="544" t="s">
        <v>106</v>
      </c>
      <c r="C21" s="543"/>
      <c r="D21" s="543"/>
      <c r="E21" s="543"/>
    </row>
    <row r="22" spans="1:5" s="536" customFormat="1" ht="16.5" customHeight="1" x14ac:dyDescent="0.3">
      <c r="A22" s="545"/>
      <c r="B22" s="544" t="s">
        <v>105</v>
      </c>
      <c r="C22" s="543"/>
      <c r="D22" s="543"/>
      <c r="E22" s="543"/>
    </row>
    <row r="23" spans="1:5" s="536" customFormat="1" ht="16.5" customHeight="1" x14ac:dyDescent="0.3">
      <c r="A23" s="545"/>
      <c r="B23" s="544" t="s">
        <v>104</v>
      </c>
      <c r="C23" s="543"/>
      <c r="D23" s="543"/>
      <c r="E23" s="543"/>
    </row>
    <row r="24" spans="1:5" s="536" customFormat="1" ht="15.75" customHeight="1" x14ac:dyDescent="0.3">
      <c r="A24" s="546"/>
      <c r="B24" s="546"/>
      <c r="C24" s="546"/>
      <c r="D24" s="546"/>
      <c r="E24" s="546"/>
    </row>
    <row r="25" spans="1:5" s="536" customFormat="1" ht="16.5" customHeight="1" x14ac:dyDescent="0.3">
      <c r="A25" s="568" t="s">
        <v>0</v>
      </c>
      <c r="B25" s="636" t="s">
        <v>117</v>
      </c>
    </row>
    <row r="26" spans="1:5" s="536" customFormat="1" ht="16.5" customHeight="1" x14ac:dyDescent="0.3">
      <c r="A26" s="545" t="s">
        <v>1</v>
      </c>
      <c r="B26" s="567" t="str">
        <f>B5</f>
        <v>Efavirenz</v>
      </c>
      <c r="C26" s="546"/>
      <c r="D26" s="546"/>
      <c r="E26" s="546"/>
    </row>
    <row r="27" spans="1:5" s="536" customFormat="1" ht="16.5" customHeight="1" x14ac:dyDescent="0.3">
      <c r="A27" s="545" t="s">
        <v>2</v>
      </c>
      <c r="B27" s="685">
        <v>99.3</v>
      </c>
      <c r="C27" s="546"/>
      <c r="D27" s="546"/>
      <c r="E27" s="546"/>
    </row>
    <row r="28" spans="1:5" s="536" customFormat="1" ht="16.5" customHeight="1" x14ac:dyDescent="0.3">
      <c r="A28" s="566" t="s">
        <v>116</v>
      </c>
      <c r="B28" s="685">
        <v>27.61</v>
      </c>
      <c r="C28" s="546"/>
      <c r="D28" s="546"/>
      <c r="E28" s="546"/>
    </row>
    <row r="29" spans="1:5" s="536" customFormat="1" ht="16.5" customHeight="1" x14ac:dyDescent="0.3">
      <c r="A29" s="566" t="s">
        <v>115</v>
      </c>
      <c r="B29" s="686">
        <f>B28/25*10/20</f>
        <v>0.55220000000000002</v>
      </c>
      <c r="C29" s="546"/>
      <c r="D29" s="546"/>
      <c r="E29" s="546"/>
    </row>
    <row r="30" spans="1:5" s="536" customFormat="1" ht="15.75" customHeight="1" x14ac:dyDescent="0.3">
      <c r="A30" s="546"/>
      <c r="B30" s="546"/>
      <c r="C30" s="546"/>
      <c r="D30" s="546"/>
      <c r="E30" s="546"/>
    </row>
    <row r="31" spans="1:5" s="536" customFormat="1" ht="16.5" customHeight="1" x14ac:dyDescent="0.3">
      <c r="A31" s="563" t="s">
        <v>114</v>
      </c>
      <c r="B31" s="564" t="s">
        <v>113</v>
      </c>
      <c r="C31" s="563" t="s">
        <v>112</v>
      </c>
      <c r="D31" s="563" t="s">
        <v>111</v>
      </c>
      <c r="E31" s="563" t="s">
        <v>110</v>
      </c>
    </row>
    <row r="32" spans="1:5" s="536" customFormat="1" ht="16.5" customHeight="1" x14ac:dyDescent="0.3">
      <c r="A32" s="561">
        <v>1</v>
      </c>
      <c r="B32" s="642">
        <v>185235996</v>
      </c>
      <c r="C32" s="640">
        <v>137308.6</v>
      </c>
      <c r="D32" s="637">
        <v>1.1000000000000001</v>
      </c>
      <c r="E32" s="638">
        <v>21.5</v>
      </c>
    </row>
    <row r="33" spans="1:7" s="536" customFormat="1" ht="16.5" customHeight="1" x14ac:dyDescent="0.3">
      <c r="A33" s="561">
        <v>2</v>
      </c>
      <c r="B33" s="642">
        <v>183604383</v>
      </c>
      <c r="C33" s="640">
        <v>137825.60000000001</v>
      </c>
      <c r="D33" s="637">
        <v>1.1000000000000001</v>
      </c>
      <c r="E33" s="637">
        <v>21.5</v>
      </c>
    </row>
    <row r="34" spans="1:7" s="536" customFormat="1" ht="16.5" customHeight="1" x14ac:dyDescent="0.3">
      <c r="A34" s="561">
        <v>3</v>
      </c>
      <c r="B34" s="642">
        <v>183315682</v>
      </c>
      <c r="C34" s="640">
        <v>137962.29999999999</v>
      </c>
      <c r="D34" s="637">
        <v>1.1000000000000001</v>
      </c>
      <c r="E34" s="637">
        <v>21.5</v>
      </c>
    </row>
    <row r="35" spans="1:7" s="536" customFormat="1" ht="16.5" customHeight="1" x14ac:dyDescent="0.3">
      <c r="A35" s="561">
        <v>4</v>
      </c>
      <c r="B35" s="642">
        <v>183559259</v>
      </c>
      <c r="C35" s="640">
        <v>137928.70000000001</v>
      </c>
      <c r="D35" s="637">
        <v>1.1000000000000001</v>
      </c>
      <c r="E35" s="637">
        <v>21.4</v>
      </c>
    </row>
    <row r="36" spans="1:7" s="536" customFormat="1" ht="16.5" customHeight="1" x14ac:dyDescent="0.3">
      <c r="A36" s="561">
        <v>5</v>
      </c>
      <c r="B36" s="642">
        <v>185884643</v>
      </c>
      <c r="C36" s="640">
        <v>137540.5</v>
      </c>
      <c r="D36" s="637">
        <v>1.1000000000000001</v>
      </c>
      <c r="E36" s="637">
        <v>21.5</v>
      </c>
    </row>
    <row r="37" spans="1:7" s="536" customFormat="1" ht="16.5" customHeight="1" x14ac:dyDescent="0.3">
      <c r="A37" s="561">
        <v>6</v>
      </c>
      <c r="B37" s="643">
        <v>187123195</v>
      </c>
      <c r="C37" s="641">
        <v>136706.79999999999</v>
      </c>
      <c r="D37" s="639">
        <v>1.1000000000000001</v>
      </c>
      <c r="E37" s="639">
        <v>21.4</v>
      </c>
    </row>
    <row r="38" spans="1:7" s="536" customFormat="1" ht="16.5" customHeight="1" x14ac:dyDescent="0.3">
      <c r="A38" s="559" t="s">
        <v>109</v>
      </c>
      <c r="B38" s="558">
        <f>AVERAGE(B32:B37)</f>
        <v>184787193</v>
      </c>
      <c r="C38" s="695">
        <f>AVERAGE(C32:C37)</f>
        <v>137545.41666666666</v>
      </c>
      <c r="D38" s="556">
        <f>AVERAGE(D32:D37)</f>
        <v>1.0999999999999999</v>
      </c>
      <c r="E38" s="556">
        <f>AVERAGE(E32:E37)</f>
        <v>21.466666666666669</v>
      </c>
    </row>
    <row r="39" spans="1:7" s="536" customFormat="1" ht="16.5" customHeight="1" x14ac:dyDescent="0.3">
      <c r="A39" s="555" t="s">
        <v>108</v>
      </c>
      <c r="B39" s="554">
        <f>(STDEV(B32:B37)/B38)</f>
        <v>8.3609014423746981E-3</v>
      </c>
      <c r="C39" s="553"/>
      <c r="D39" s="553"/>
      <c r="E39" s="552"/>
    </row>
    <row r="40" spans="1:7" s="536" customFormat="1" ht="16.5" customHeight="1" x14ac:dyDescent="0.3">
      <c r="A40" s="551" t="s">
        <v>3</v>
      </c>
      <c r="B40" s="550">
        <f>COUNT(B32:B37)</f>
        <v>6</v>
      </c>
      <c r="C40" s="549"/>
      <c r="D40" s="548"/>
      <c r="E40" s="547"/>
    </row>
    <row r="41" spans="1:7" s="536" customFormat="1" ht="15.75" customHeight="1" x14ac:dyDescent="0.3">
      <c r="A41" s="546"/>
      <c r="B41" s="546"/>
      <c r="C41" s="546"/>
      <c r="D41" s="546"/>
      <c r="E41" s="546"/>
    </row>
    <row r="42" spans="1:7" s="536" customFormat="1" ht="16.5" customHeight="1" x14ac:dyDescent="0.3">
      <c r="A42" s="545" t="s">
        <v>107</v>
      </c>
      <c r="B42" s="544" t="s">
        <v>106</v>
      </c>
      <c r="C42" s="543"/>
      <c r="D42" s="543"/>
      <c r="E42" s="543"/>
    </row>
    <row r="43" spans="1:7" s="536" customFormat="1" ht="16.5" customHeight="1" x14ac:dyDescent="0.3">
      <c r="A43" s="545"/>
      <c r="B43" s="544" t="s">
        <v>105</v>
      </c>
      <c r="C43" s="543"/>
      <c r="D43" s="543"/>
      <c r="E43" s="543"/>
    </row>
    <row r="44" spans="1:7" s="536" customFormat="1" ht="16.5" customHeight="1" x14ac:dyDescent="0.3">
      <c r="A44" s="545"/>
      <c r="B44" s="544" t="s">
        <v>104</v>
      </c>
      <c r="C44" s="543"/>
      <c r="D44" s="543"/>
      <c r="E44" s="543"/>
    </row>
    <row r="45" spans="1:7" s="536" customFormat="1" ht="14.25" customHeight="1" thickBot="1" x14ac:dyDescent="0.35">
      <c r="A45" s="542"/>
      <c r="B45" s="541"/>
      <c r="D45" s="540"/>
      <c r="F45" s="679"/>
      <c r="G45" s="535"/>
    </row>
    <row r="46" spans="1:7" s="536" customFormat="1" ht="15" customHeight="1" x14ac:dyDescent="0.3">
      <c r="B46" s="755" t="s">
        <v>4</v>
      </c>
      <c r="C46" s="755"/>
      <c r="D46" s="539" t="s">
        <v>5</v>
      </c>
      <c r="E46" s="539" t="s">
        <v>6</v>
      </c>
      <c r="F46" s="678"/>
    </row>
    <row r="47" spans="1:7" s="536" customFormat="1" ht="15" customHeight="1" x14ac:dyDescent="0.3">
      <c r="B47" s="684"/>
      <c r="C47" s="684"/>
      <c r="D47" s="684"/>
      <c r="E47" s="684"/>
      <c r="F47" s="678"/>
    </row>
    <row r="48" spans="1:7" s="536" customFormat="1" ht="15" customHeight="1" x14ac:dyDescent="0.3">
      <c r="A48" s="715" t="s">
        <v>0</v>
      </c>
      <c r="B48" s="716" t="s">
        <v>141</v>
      </c>
      <c r="C48" s="684"/>
      <c r="D48" s="684"/>
      <c r="E48" s="684"/>
      <c r="F48" s="678"/>
    </row>
    <row r="49" spans="1:6" s="536" customFormat="1" ht="15" customHeight="1" x14ac:dyDescent="0.3">
      <c r="A49" s="715" t="s">
        <v>1</v>
      </c>
      <c r="B49" s="717" t="s">
        <v>136</v>
      </c>
      <c r="C49" s="684"/>
      <c r="D49" s="684"/>
      <c r="E49" s="684"/>
      <c r="F49" s="678"/>
    </row>
    <row r="50" spans="1:6" s="536" customFormat="1" ht="15" customHeight="1" x14ac:dyDescent="0.3">
      <c r="A50" s="715" t="s">
        <v>2</v>
      </c>
      <c r="B50" s="717">
        <v>99.3</v>
      </c>
      <c r="C50" s="684"/>
      <c r="D50" s="684"/>
      <c r="E50" s="684"/>
      <c r="F50" s="678"/>
    </row>
    <row r="51" spans="1:6" s="536" customFormat="1" ht="15" customHeight="1" x14ac:dyDescent="0.3">
      <c r="A51" s="715" t="s">
        <v>116</v>
      </c>
      <c r="B51" s="717">
        <v>29.47</v>
      </c>
      <c r="C51" s="684"/>
      <c r="D51" s="684"/>
      <c r="E51" s="684"/>
      <c r="F51" s="678"/>
    </row>
    <row r="52" spans="1:6" s="536" customFormat="1" ht="15" customHeight="1" x14ac:dyDescent="0.3">
      <c r="A52" s="715" t="s">
        <v>115</v>
      </c>
      <c r="B52" s="717">
        <f>B51/25*10/20</f>
        <v>0.58939999999999992</v>
      </c>
      <c r="C52" s="684"/>
      <c r="D52" s="684"/>
      <c r="E52" s="684"/>
      <c r="F52" s="678"/>
    </row>
    <row r="53" spans="1:6" s="536" customFormat="1" ht="15" customHeight="1" x14ac:dyDescent="0.3">
      <c r="B53" s="684"/>
      <c r="C53" s="684"/>
      <c r="D53" s="684"/>
      <c r="E53" s="684"/>
      <c r="F53" s="678"/>
    </row>
    <row r="54" spans="1:6" s="536" customFormat="1" ht="15" customHeight="1" x14ac:dyDescent="0.3">
      <c r="A54" s="563" t="s">
        <v>114</v>
      </c>
      <c r="B54" s="564" t="s">
        <v>113</v>
      </c>
      <c r="C54" s="563" t="s">
        <v>112</v>
      </c>
      <c r="D54" s="563" t="s">
        <v>111</v>
      </c>
      <c r="E54" s="563" t="s">
        <v>110</v>
      </c>
      <c r="F54" s="678"/>
    </row>
    <row r="55" spans="1:6" s="536" customFormat="1" ht="15" customHeight="1" x14ac:dyDescent="0.3">
      <c r="A55" s="561">
        <v>1</v>
      </c>
      <c r="B55" s="642">
        <v>192664827</v>
      </c>
      <c r="C55" s="640">
        <v>138116.4</v>
      </c>
      <c r="D55" s="637">
        <v>1.1000000000000001</v>
      </c>
      <c r="E55" s="638">
        <v>21.5</v>
      </c>
      <c r="F55" s="678"/>
    </row>
    <row r="56" spans="1:6" s="536" customFormat="1" ht="15" customHeight="1" x14ac:dyDescent="0.3">
      <c r="A56" s="561">
        <v>2</v>
      </c>
      <c r="B56" s="642">
        <v>192925569</v>
      </c>
      <c r="C56" s="640">
        <v>137935.6</v>
      </c>
      <c r="D56" s="637">
        <v>1.1000000000000001</v>
      </c>
      <c r="E56" s="637">
        <v>21.5</v>
      </c>
      <c r="F56" s="678"/>
    </row>
    <row r="57" spans="1:6" s="536" customFormat="1" ht="15" customHeight="1" x14ac:dyDescent="0.3">
      <c r="A57" s="561">
        <v>3</v>
      </c>
      <c r="B57" s="642">
        <v>192719957</v>
      </c>
      <c r="C57" s="640">
        <v>138994</v>
      </c>
      <c r="D57" s="637">
        <v>1.1000000000000001</v>
      </c>
      <c r="E57" s="637">
        <v>21.5</v>
      </c>
      <c r="F57" s="678"/>
    </row>
    <row r="58" spans="1:6" s="536" customFormat="1" ht="15" customHeight="1" x14ac:dyDescent="0.3">
      <c r="A58" s="561">
        <v>4</v>
      </c>
      <c r="B58" s="642">
        <v>194766815</v>
      </c>
      <c r="C58" s="640">
        <v>138649.9</v>
      </c>
      <c r="D58" s="637">
        <v>1.1000000000000001</v>
      </c>
      <c r="E58" s="637">
        <v>21.5</v>
      </c>
      <c r="F58" s="678"/>
    </row>
    <row r="59" spans="1:6" s="536" customFormat="1" ht="15" customHeight="1" x14ac:dyDescent="0.3">
      <c r="A59" s="561">
        <v>5</v>
      </c>
      <c r="B59" s="642">
        <v>193180695</v>
      </c>
      <c r="C59" s="640">
        <v>139141.1</v>
      </c>
      <c r="D59" s="637">
        <v>1.1000000000000001</v>
      </c>
      <c r="E59" s="637">
        <v>21.5</v>
      </c>
      <c r="F59" s="678"/>
    </row>
    <row r="60" spans="1:6" s="536" customFormat="1" ht="15" customHeight="1" x14ac:dyDescent="0.3">
      <c r="A60" s="561">
        <v>6</v>
      </c>
      <c r="B60" s="643">
        <v>195479012</v>
      </c>
      <c r="C60" s="641">
        <v>138837.9</v>
      </c>
      <c r="D60" s="639">
        <v>1.2</v>
      </c>
      <c r="E60" s="639">
        <v>21.5</v>
      </c>
      <c r="F60" s="678"/>
    </row>
    <row r="61" spans="1:6" s="536" customFormat="1" ht="15" customHeight="1" x14ac:dyDescent="0.3">
      <c r="A61" s="559" t="s">
        <v>109</v>
      </c>
      <c r="B61" s="558">
        <f>AVERAGE(B55:B60)</f>
        <v>193622812.5</v>
      </c>
      <c r="C61" s="695">
        <f>AVERAGE(C55:C60)</f>
        <v>138612.48333333334</v>
      </c>
      <c r="D61" s="556">
        <f>AVERAGE(D55:D60)</f>
        <v>1.1166666666666667</v>
      </c>
      <c r="E61" s="556">
        <f>AVERAGE(E55:E60)</f>
        <v>21.5</v>
      </c>
      <c r="F61" s="678"/>
    </row>
    <row r="62" spans="1:6" s="536" customFormat="1" ht="15" customHeight="1" x14ac:dyDescent="0.3">
      <c r="A62" s="555" t="s">
        <v>108</v>
      </c>
      <c r="B62" s="554">
        <f>(STDEV(B55:B60)/B61)</f>
        <v>6.1841391184944243E-3</v>
      </c>
      <c r="C62" s="553"/>
      <c r="D62" s="553"/>
      <c r="E62" s="552"/>
      <c r="F62" s="678"/>
    </row>
    <row r="63" spans="1:6" s="536" customFormat="1" ht="15" customHeight="1" x14ac:dyDescent="0.3">
      <c r="A63" s="551" t="s">
        <v>3</v>
      </c>
      <c r="B63" s="550">
        <f>COUNT(B55:B60)</f>
        <v>6</v>
      </c>
      <c r="C63" s="549"/>
      <c r="D63" s="548"/>
      <c r="E63" s="547"/>
      <c r="F63" s="678"/>
    </row>
    <row r="64" spans="1:6" s="536" customFormat="1" ht="15" customHeight="1" x14ac:dyDescent="0.3">
      <c r="B64" s="684"/>
      <c r="C64" s="684"/>
      <c r="D64" s="684"/>
      <c r="E64" s="684"/>
      <c r="F64" s="678"/>
    </row>
    <row r="65" spans="1:7" s="536" customFormat="1" ht="15" customHeight="1" x14ac:dyDescent="0.3">
      <c r="A65" s="545" t="s">
        <v>107</v>
      </c>
      <c r="B65" s="544" t="s">
        <v>142</v>
      </c>
      <c r="C65" s="543"/>
      <c r="D65" s="543"/>
      <c r="E65" s="684"/>
      <c r="F65" s="678"/>
    </row>
    <row r="66" spans="1:7" s="536" customFormat="1" ht="15" customHeight="1" x14ac:dyDescent="0.3">
      <c r="A66" s="545"/>
      <c r="B66" s="544" t="s">
        <v>143</v>
      </c>
      <c r="C66" s="543"/>
      <c r="D66" s="543"/>
      <c r="E66" s="684"/>
      <c r="F66" s="678"/>
    </row>
    <row r="67" spans="1:7" s="536" customFormat="1" ht="15" customHeight="1" x14ac:dyDescent="0.3">
      <c r="A67" s="545"/>
      <c r="B67" s="544" t="s">
        <v>144</v>
      </c>
      <c r="C67" s="543"/>
      <c r="D67" s="543"/>
      <c r="E67" s="684"/>
      <c r="F67" s="678"/>
    </row>
    <row r="68" spans="1:7" s="536" customFormat="1" ht="15" customHeight="1" thickBot="1" x14ac:dyDescent="0.35">
      <c r="A68" s="712"/>
      <c r="B68" s="684"/>
      <c r="C68" s="684"/>
      <c r="D68" s="684"/>
      <c r="E68" s="684"/>
      <c r="F68" s="678"/>
    </row>
    <row r="69" spans="1:7" s="536" customFormat="1" ht="15" customHeight="1" x14ac:dyDescent="0.3">
      <c r="B69" s="755" t="s">
        <v>4</v>
      </c>
      <c r="C69" s="755"/>
      <c r="D69" s="697" t="s">
        <v>5</v>
      </c>
      <c r="E69" s="697" t="s">
        <v>6</v>
      </c>
      <c r="F69" s="678"/>
    </row>
    <row r="70" spans="1:7" s="536" customFormat="1" ht="15" customHeight="1" x14ac:dyDescent="0.3">
      <c r="A70" s="537" t="s">
        <v>7</v>
      </c>
      <c r="B70" s="698" t="s">
        <v>137</v>
      </c>
      <c r="C70" s="699"/>
      <c r="D70" s="681">
        <v>42500</v>
      </c>
      <c r="E70" s="538"/>
      <c r="F70" s="678"/>
    </row>
    <row r="71" spans="1:7" s="536" customFormat="1" ht="15" customHeight="1" x14ac:dyDescent="0.3">
      <c r="A71" s="537"/>
      <c r="B71" s="675"/>
      <c r="C71" s="675"/>
      <c r="D71" s="680"/>
      <c r="F71" s="678"/>
    </row>
    <row r="72" spans="1:7" s="536" customFormat="1" ht="15" customHeight="1" x14ac:dyDescent="0.3">
      <c r="A72" s="537" t="s">
        <v>8</v>
      </c>
      <c r="B72" s="682"/>
      <c r="C72" s="682"/>
      <c r="D72" s="682"/>
      <c r="E72" s="677"/>
      <c r="F72" s="678"/>
    </row>
    <row r="73" spans="1:7" s="536" customFormat="1" ht="15" customHeight="1" x14ac:dyDescent="0.3">
      <c r="F73" s="678"/>
    </row>
    <row r="74" spans="1:7" s="536" customFormat="1" ht="15" customHeight="1" x14ac:dyDescent="0.3">
      <c r="B74" s="684"/>
      <c r="C74" s="684"/>
      <c r="D74" s="684"/>
      <c r="E74" s="684"/>
      <c r="F74" s="678"/>
    </row>
    <row r="75" spans="1:7" s="536" customFormat="1" ht="15" customHeight="1" x14ac:dyDescent="0.3">
      <c r="B75" s="684"/>
      <c r="C75" s="684"/>
      <c r="D75" s="684"/>
      <c r="E75" s="684"/>
      <c r="F75" s="678"/>
    </row>
    <row r="76" spans="1:7" s="536" customFormat="1" ht="15" customHeight="1" x14ac:dyDescent="0.3">
      <c r="B76" s="684"/>
      <c r="C76" s="684"/>
      <c r="D76" s="684"/>
      <c r="E76" s="684"/>
      <c r="F76" s="678"/>
    </row>
    <row r="77" spans="1:7" s="536" customFormat="1" ht="15" customHeight="1" x14ac:dyDescent="0.3"/>
    <row r="78" spans="1:7" s="536" customFormat="1" ht="15" customHeight="1" x14ac:dyDescent="0.3">
      <c r="G78" s="675"/>
    </row>
    <row r="79" spans="1:7" s="536" customFormat="1" ht="15" customHeight="1" x14ac:dyDescent="0.3">
      <c r="F79" s="675"/>
      <c r="G79" s="675"/>
    </row>
  </sheetData>
  <sheetProtection formatCells="0" formatColumns="0" formatRows="0" insertColumns="0" insertRows="0" insertHyperlinks="0" deleteColumns="0" deleteRows="0" sort="0" autoFilter="0" pivotTables="0"/>
  <mergeCells count="3">
    <mergeCell ref="A2:E2"/>
    <mergeCell ref="B46:C46"/>
    <mergeCell ref="B69:C69"/>
  </mergeCells>
  <pageMargins left="0.7" right="0.7" top="0.75" bottom="0.75" header="0.3" footer="0.3"/>
  <pageSetup scale="63" orientation="portrait" r:id="rId1"/>
  <rowBreaks count="1" manualBreakCount="1">
    <brk id="73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0" workbookViewId="0">
      <selection activeCell="H36" sqref="H36"/>
    </sheetView>
  </sheetViews>
  <sheetFormatPr defaultColWidth="9.109375" defaultRowHeight="15.6" x14ac:dyDescent="0.3"/>
  <cols>
    <col min="1" max="1" width="13.109375" style="590" customWidth="1"/>
    <col min="2" max="2" width="19.33203125" style="613" customWidth="1"/>
    <col min="3" max="3" width="18.88671875" style="590" customWidth="1"/>
    <col min="4" max="4" width="21.21875" style="586" customWidth="1"/>
    <col min="5" max="5" width="18.44140625" style="590" customWidth="1"/>
    <col min="6" max="6" width="6.44140625" style="583" customWidth="1"/>
    <col min="7" max="7" width="17.109375" style="583" customWidth="1"/>
    <col min="8" max="8" width="13.109375" style="583" customWidth="1"/>
    <col min="9" max="9" width="11" style="583" customWidth="1"/>
    <col min="10" max="10" width="15" style="583" customWidth="1"/>
    <col min="11" max="11" width="7.5546875" style="583" customWidth="1"/>
    <col min="12" max="12" width="13.109375" style="583" customWidth="1"/>
    <col min="13" max="13" width="11" style="583" customWidth="1"/>
    <col min="14" max="14" width="12.33203125" style="583" customWidth="1"/>
    <col min="15" max="15" width="6.5546875" style="583" customWidth="1"/>
    <col min="16" max="16" width="9.109375" style="583"/>
    <col min="17" max="16384" width="9.109375" style="535"/>
  </cols>
  <sheetData>
    <row r="1" spans="1:15" ht="13.8" x14ac:dyDescent="0.3">
      <c r="A1" s="578"/>
      <c r="B1" s="579"/>
      <c r="C1" s="578"/>
      <c r="D1" s="580"/>
      <c r="E1" s="581"/>
      <c r="F1" s="579"/>
      <c r="G1" s="581"/>
      <c r="H1" s="581"/>
      <c r="I1" s="579"/>
      <c r="J1" s="581"/>
      <c r="K1" s="582"/>
      <c r="L1" s="581"/>
      <c r="M1" s="579"/>
      <c r="N1" s="581"/>
      <c r="O1" s="579"/>
    </row>
    <row r="2" spans="1:15" ht="13.8" x14ac:dyDescent="0.3">
      <c r="A2" s="578"/>
      <c r="B2" s="579"/>
      <c r="C2" s="578"/>
      <c r="D2" s="580"/>
      <c r="E2" s="584"/>
      <c r="F2" s="579"/>
      <c r="G2" s="584"/>
      <c r="H2" s="584"/>
      <c r="I2" s="579"/>
      <c r="J2" s="584"/>
      <c r="K2" s="582"/>
      <c r="L2" s="584"/>
      <c r="M2" s="582"/>
      <c r="N2" s="584"/>
      <c r="O2" s="582"/>
    </row>
    <row r="3" spans="1:15" ht="13.8" x14ac:dyDescent="0.3">
      <c r="A3" s="578"/>
      <c r="B3" s="579"/>
      <c r="C3" s="578"/>
      <c r="D3" s="580"/>
      <c r="E3" s="584"/>
      <c r="F3" s="579"/>
      <c r="G3" s="584"/>
      <c r="H3" s="584"/>
      <c r="I3" s="579"/>
      <c r="J3" s="584"/>
      <c r="K3" s="582"/>
      <c r="L3" s="584"/>
      <c r="M3" s="582"/>
      <c r="N3" s="584"/>
      <c r="O3" s="582"/>
    </row>
    <row r="4" spans="1:15" ht="13.8" x14ac:dyDescent="0.3">
      <c r="A4" s="578"/>
      <c r="B4" s="579"/>
      <c r="C4" s="578"/>
      <c r="D4" s="580"/>
      <c r="E4" s="584"/>
      <c r="F4" s="579"/>
      <c r="G4" s="584"/>
      <c r="H4" s="584"/>
      <c r="I4" s="579"/>
      <c r="J4" s="584"/>
      <c r="K4" s="582"/>
      <c r="L4" s="584"/>
      <c r="M4" s="582"/>
      <c r="N4" s="584"/>
      <c r="O4" s="582"/>
    </row>
    <row r="5" spans="1:15" ht="13.8" x14ac:dyDescent="0.3">
      <c r="A5" s="578"/>
      <c r="B5" s="579"/>
      <c r="C5" s="578"/>
      <c r="D5" s="580"/>
      <c r="E5" s="584"/>
      <c r="F5" s="579"/>
      <c r="G5" s="584"/>
      <c r="H5" s="584"/>
      <c r="I5" s="579"/>
      <c r="J5" s="584"/>
      <c r="K5" s="582"/>
      <c r="L5" s="584"/>
      <c r="M5" s="582"/>
      <c r="N5" s="584"/>
      <c r="O5" s="582"/>
    </row>
    <row r="6" spans="1:15" ht="13.8" x14ac:dyDescent="0.3">
      <c r="A6" s="578"/>
      <c r="B6" s="579"/>
      <c r="C6" s="578"/>
      <c r="D6" s="580"/>
      <c r="E6" s="584"/>
      <c r="F6" s="579"/>
      <c r="G6" s="584"/>
      <c r="H6" s="584"/>
      <c r="I6" s="579"/>
      <c r="J6" s="584"/>
      <c r="K6" s="582"/>
      <c r="L6" s="584"/>
      <c r="M6" s="582"/>
      <c r="N6" s="584"/>
      <c r="O6" s="582"/>
    </row>
    <row r="7" spans="1:15" ht="13.8" x14ac:dyDescent="0.3">
      <c r="A7" s="578"/>
      <c r="B7" s="579"/>
      <c r="C7" s="578"/>
      <c r="D7" s="580"/>
      <c r="E7" s="584"/>
      <c r="F7" s="579"/>
      <c r="G7" s="584"/>
      <c r="H7" s="584"/>
      <c r="I7" s="579"/>
      <c r="J7" s="584"/>
      <c r="K7" s="582"/>
      <c r="L7" s="584"/>
      <c r="M7" s="582"/>
      <c r="N7" s="584"/>
      <c r="O7" s="582"/>
    </row>
    <row r="8" spans="1:15" ht="19.5" customHeight="1" x14ac:dyDescent="0.3">
      <c r="A8" s="762" t="s">
        <v>9</v>
      </c>
      <c r="B8" s="762"/>
      <c r="C8" s="762"/>
      <c r="D8" s="762"/>
      <c r="E8" s="762"/>
      <c r="F8" s="762"/>
      <c r="G8" s="762"/>
      <c r="H8" s="584"/>
      <c r="I8" s="579"/>
      <c r="J8" s="584"/>
      <c r="K8" s="582"/>
      <c r="L8" s="584"/>
      <c r="M8" s="582"/>
      <c r="N8" s="584"/>
      <c r="O8" s="582"/>
    </row>
    <row r="9" spans="1:15" ht="19.5" customHeight="1" x14ac:dyDescent="0.3">
      <c r="A9" s="585"/>
      <c r="B9" s="585"/>
      <c r="C9" s="585"/>
      <c r="D9" s="585"/>
      <c r="E9" s="585"/>
      <c r="F9" s="585"/>
      <c r="G9" s="585"/>
      <c r="H9" s="584"/>
      <c r="I9" s="579"/>
      <c r="J9" s="584"/>
      <c r="K9" s="582"/>
      <c r="L9" s="584"/>
      <c r="M9" s="582"/>
      <c r="N9" s="584"/>
      <c r="O9" s="582"/>
    </row>
    <row r="10" spans="1:15" ht="16.5" customHeight="1" x14ac:dyDescent="0.3">
      <c r="A10" s="763" t="s">
        <v>10</v>
      </c>
      <c r="B10" s="763"/>
      <c r="C10" s="763"/>
      <c r="D10" s="763"/>
      <c r="E10" s="763"/>
      <c r="F10" s="763"/>
      <c r="G10" s="763"/>
      <c r="H10" s="584"/>
      <c r="I10" s="579"/>
      <c r="J10" s="584"/>
      <c r="K10" s="582"/>
      <c r="L10" s="584"/>
      <c r="M10" s="582"/>
      <c r="N10" s="584"/>
      <c r="O10" s="582"/>
    </row>
    <row r="11" spans="1:15" ht="15" customHeight="1" x14ac:dyDescent="0.3">
      <c r="A11" s="757" t="s">
        <v>11</v>
      </c>
      <c r="B11" s="757"/>
      <c r="C11" s="578" t="s">
        <v>122</v>
      </c>
      <c r="E11" s="584"/>
      <c r="F11" s="579"/>
      <c r="G11" s="584"/>
      <c r="H11" s="584"/>
      <c r="I11" s="579"/>
      <c r="J11" s="584"/>
      <c r="K11" s="582"/>
      <c r="L11" s="584"/>
      <c r="M11" s="582"/>
      <c r="N11" s="584"/>
      <c r="O11" s="582"/>
    </row>
    <row r="12" spans="1:15" ht="15" customHeight="1" x14ac:dyDescent="0.3">
      <c r="A12" s="757" t="s">
        <v>12</v>
      </c>
      <c r="B12" s="757"/>
      <c r="C12" s="587" t="s">
        <v>139</v>
      </c>
      <c r="E12" s="584"/>
      <c r="F12" s="579"/>
      <c r="G12" s="584"/>
      <c r="H12" s="584"/>
      <c r="I12" s="579"/>
      <c r="J12" s="584"/>
      <c r="K12" s="582"/>
      <c r="L12" s="584"/>
      <c r="M12" s="582"/>
      <c r="N12" s="584"/>
      <c r="O12" s="582"/>
    </row>
    <row r="13" spans="1:15" ht="15" customHeight="1" x14ac:dyDescent="0.3">
      <c r="A13" s="757" t="s">
        <v>13</v>
      </c>
      <c r="B13" s="757"/>
      <c r="C13" s="578" t="s">
        <v>123</v>
      </c>
      <c r="E13" s="584"/>
      <c r="F13" s="579"/>
      <c r="G13" s="584"/>
      <c r="H13" s="584"/>
      <c r="I13" s="579"/>
      <c r="J13" s="584"/>
      <c r="K13" s="582"/>
      <c r="L13" s="584"/>
      <c r="M13" s="582"/>
      <c r="N13" s="584"/>
      <c r="O13" s="582"/>
    </row>
    <row r="14" spans="1:15" ht="15" customHeight="1" x14ac:dyDescent="0.3">
      <c r="A14" s="757" t="s">
        <v>14</v>
      </c>
      <c r="B14" s="757"/>
      <c r="C14" s="587" t="s">
        <v>124</v>
      </c>
      <c r="D14" s="588"/>
      <c r="E14" s="588"/>
      <c r="F14" s="588"/>
      <c r="G14" s="588"/>
      <c r="H14" s="584"/>
      <c r="I14" s="579"/>
      <c r="J14" s="584"/>
      <c r="K14" s="582"/>
      <c r="L14" s="584"/>
      <c r="M14" s="582"/>
      <c r="N14" s="584"/>
      <c r="O14" s="582"/>
    </row>
    <row r="15" spans="1:15" ht="15" customHeight="1" x14ac:dyDescent="0.3">
      <c r="A15" s="757" t="s">
        <v>15</v>
      </c>
      <c r="B15" s="757"/>
      <c r="C15" s="589"/>
      <c r="D15" s="578"/>
      <c r="E15" s="584"/>
      <c r="F15" s="579"/>
      <c r="G15" s="584"/>
      <c r="H15" s="584"/>
      <c r="I15" s="579"/>
      <c r="J15" s="584"/>
      <c r="K15" s="582"/>
      <c r="L15" s="584"/>
      <c r="M15" s="582"/>
      <c r="N15" s="584"/>
      <c r="O15" s="582"/>
    </row>
    <row r="16" spans="1:15" ht="15" customHeight="1" x14ac:dyDescent="0.3">
      <c r="A16" s="757" t="s">
        <v>16</v>
      </c>
      <c r="B16" s="757"/>
      <c r="C16" s="589"/>
      <c r="D16" s="578"/>
      <c r="E16" s="584"/>
      <c r="F16" s="579"/>
      <c r="G16" s="584"/>
      <c r="H16" s="584"/>
      <c r="I16" s="579"/>
      <c r="J16" s="584"/>
      <c r="K16" s="582"/>
      <c r="L16" s="584"/>
      <c r="M16" s="582"/>
      <c r="N16" s="584"/>
      <c r="O16" s="582"/>
    </row>
    <row r="17" spans="1:15" ht="14.4" x14ac:dyDescent="0.3">
      <c r="B17" s="591"/>
      <c r="D17" s="578"/>
      <c r="E17" s="584"/>
      <c r="F17" s="579"/>
      <c r="G17" s="584"/>
      <c r="H17" s="584"/>
      <c r="I17" s="579"/>
      <c r="J17" s="584"/>
      <c r="K17" s="582"/>
      <c r="L17" s="584"/>
      <c r="M17" s="582"/>
      <c r="N17" s="584"/>
      <c r="O17" s="582"/>
    </row>
    <row r="18" spans="1:15" ht="15" customHeight="1" x14ac:dyDescent="0.3">
      <c r="A18" s="758" t="s">
        <v>0</v>
      </c>
      <c r="B18" s="758"/>
      <c r="C18" s="592" t="s">
        <v>17</v>
      </c>
      <c r="D18" s="578"/>
      <c r="E18" s="584"/>
      <c r="F18" s="579"/>
      <c r="G18" s="584"/>
      <c r="H18" s="584"/>
      <c r="I18" s="579"/>
      <c r="J18" s="584"/>
      <c r="K18" s="582"/>
      <c r="L18" s="584"/>
      <c r="M18" s="582"/>
      <c r="N18" s="584"/>
      <c r="O18" s="582"/>
    </row>
    <row r="19" spans="1:15" ht="15.75" customHeight="1" thickBot="1" x14ac:dyDescent="0.35">
      <c r="A19" s="583"/>
      <c r="B19" s="578"/>
      <c r="D19" s="578"/>
      <c r="E19" s="584"/>
      <c r="F19" s="579"/>
      <c r="G19" s="584"/>
      <c r="H19" s="584"/>
      <c r="I19" s="579"/>
      <c r="J19" s="584"/>
      <c r="K19" s="582"/>
      <c r="L19" s="584"/>
      <c r="M19" s="582"/>
      <c r="N19" s="584"/>
      <c r="O19" s="582"/>
    </row>
    <row r="20" spans="1:15" ht="15.75" customHeight="1" thickBot="1" x14ac:dyDescent="0.35">
      <c r="B20" s="593" t="s">
        <v>121</v>
      </c>
      <c r="C20" s="632" t="s">
        <v>125</v>
      </c>
      <c r="D20" s="633" t="s">
        <v>18</v>
      </c>
      <c r="G20" s="584"/>
      <c r="H20" s="594"/>
      <c r="I20" s="579"/>
      <c r="J20" s="584"/>
      <c r="K20" s="582"/>
      <c r="L20" s="594"/>
      <c r="M20" s="582"/>
      <c r="N20" s="594"/>
      <c r="O20" s="582"/>
    </row>
    <row r="21" spans="1:15" ht="14.4" x14ac:dyDescent="0.3">
      <c r="B21" s="595">
        <v>1</v>
      </c>
      <c r="C21" s="628">
        <v>1925</v>
      </c>
      <c r="D21" s="634">
        <f>(C21-$C$44)/$C$44</f>
        <v>1.760428990251094E-2</v>
      </c>
      <c r="G21" s="584"/>
      <c r="H21" s="594"/>
      <c r="I21" s="579"/>
      <c r="J21" s="584"/>
      <c r="K21" s="582"/>
      <c r="L21" s="594"/>
      <c r="M21" s="582"/>
      <c r="N21" s="594"/>
      <c r="O21" s="582"/>
    </row>
    <row r="22" spans="1:15" ht="14.4" x14ac:dyDescent="0.3">
      <c r="B22" s="596">
        <v>2</v>
      </c>
      <c r="C22" s="629">
        <v>1876.54</v>
      </c>
      <c r="D22" s="634">
        <f t="shared" ref="D22:D40" si="0">(C22-$C$44)/$C$44</f>
        <v>-8.0129069227751482E-3</v>
      </c>
      <c r="G22" s="584"/>
      <c r="H22" s="594"/>
      <c r="I22" s="579"/>
      <c r="J22" s="584"/>
      <c r="K22" s="582"/>
      <c r="L22" s="594"/>
      <c r="M22" s="582"/>
      <c r="N22" s="594"/>
      <c r="O22" s="582"/>
    </row>
    <row r="23" spans="1:15" ht="14.4" x14ac:dyDescent="0.3">
      <c r="B23" s="596">
        <v>3</v>
      </c>
      <c r="C23" s="629">
        <v>1885.29</v>
      </c>
      <c r="D23" s="634">
        <f t="shared" si="0"/>
        <v>-3.3874328777637351E-3</v>
      </c>
      <c r="G23" s="584"/>
      <c r="H23" s="594"/>
      <c r="I23" s="579"/>
      <c r="J23" s="584"/>
      <c r="K23" s="582"/>
      <c r="L23" s="594"/>
      <c r="M23" s="582"/>
      <c r="N23" s="594"/>
      <c r="O23" s="582"/>
    </row>
    <row r="24" spans="1:15" ht="14.4" x14ac:dyDescent="0.3">
      <c r="B24" s="596">
        <v>4</v>
      </c>
      <c r="C24" s="629">
        <v>1915.82</v>
      </c>
      <c r="D24" s="634">
        <f t="shared" si="0"/>
        <v>1.2751506847287502E-2</v>
      </c>
      <c r="G24" s="584"/>
      <c r="H24" s="594"/>
      <c r="I24" s="579"/>
      <c r="J24" s="584"/>
      <c r="K24" s="582"/>
      <c r="L24" s="594"/>
      <c r="M24" s="582"/>
      <c r="N24" s="594"/>
      <c r="O24" s="582"/>
    </row>
    <row r="25" spans="1:15" ht="14.4" x14ac:dyDescent="0.3">
      <c r="B25" s="596">
        <v>5</v>
      </c>
      <c r="C25" s="629">
        <v>1892.84</v>
      </c>
      <c r="D25" s="634">
        <f t="shared" si="0"/>
        <v>6.0369044107466035E-4</v>
      </c>
      <c r="G25" s="584"/>
      <c r="H25" s="594"/>
      <c r="I25" s="579"/>
      <c r="J25" s="584"/>
      <c r="K25" s="582"/>
      <c r="L25" s="594"/>
      <c r="M25" s="582"/>
      <c r="N25" s="594"/>
      <c r="O25" s="582"/>
    </row>
    <row r="26" spans="1:15" ht="14.4" x14ac:dyDescent="0.3">
      <c r="B26" s="596">
        <v>6</v>
      </c>
      <c r="C26" s="629">
        <v>1890.8</v>
      </c>
      <c r="D26" s="634">
        <f t="shared" si="0"/>
        <v>-4.7470579341940994E-4</v>
      </c>
      <c r="G26" s="584"/>
      <c r="H26" s="594"/>
      <c r="I26" s="579"/>
      <c r="J26" s="584"/>
      <c r="K26" s="582"/>
      <c r="L26" s="594"/>
      <c r="M26" s="582"/>
      <c r="N26" s="594"/>
      <c r="O26" s="582"/>
    </row>
    <row r="27" spans="1:15" ht="14.4" x14ac:dyDescent="0.3">
      <c r="B27" s="596">
        <v>7</v>
      </c>
      <c r="C27" s="629">
        <v>1854.57</v>
      </c>
      <c r="D27" s="634">
        <f t="shared" si="0"/>
        <v>-1.9626811467792393E-2</v>
      </c>
      <c r="G27" s="584"/>
      <c r="H27" s="594"/>
      <c r="I27" s="579"/>
      <c r="J27" s="584"/>
      <c r="K27" s="582"/>
      <c r="L27" s="594"/>
      <c r="M27" s="582"/>
      <c r="N27" s="594"/>
      <c r="O27" s="582"/>
    </row>
    <row r="28" spans="1:15" ht="14.4" x14ac:dyDescent="0.3">
      <c r="B28" s="596">
        <v>8</v>
      </c>
      <c r="C28" s="629">
        <v>1868.81</v>
      </c>
      <c r="D28" s="634">
        <f t="shared" si="0"/>
        <v>-1.2099182850539526E-2</v>
      </c>
      <c r="G28" s="584"/>
      <c r="H28" s="594"/>
      <c r="I28" s="579"/>
      <c r="J28" s="584"/>
      <c r="K28" s="582"/>
      <c r="L28" s="594"/>
      <c r="M28" s="582"/>
      <c r="N28" s="594"/>
      <c r="O28" s="582"/>
    </row>
    <row r="29" spans="1:15" ht="14.4" x14ac:dyDescent="0.3">
      <c r="B29" s="596">
        <v>9</v>
      </c>
      <c r="C29" s="629">
        <v>1891.84</v>
      </c>
      <c r="D29" s="634">
        <f t="shared" si="0"/>
        <v>7.5064835930498824E-5</v>
      </c>
      <c r="G29" s="584"/>
      <c r="H29" s="594"/>
      <c r="I29" s="579"/>
      <c r="J29" s="584"/>
      <c r="K29" s="582"/>
      <c r="L29" s="594"/>
      <c r="M29" s="582"/>
      <c r="N29" s="594"/>
      <c r="O29" s="582"/>
    </row>
    <row r="30" spans="1:15" ht="14.4" x14ac:dyDescent="0.3">
      <c r="B30" s="596">
        <v>10</v>
      </c>
      <c r="C30" s="630">
        <v>1928.15</v>
      </c>
      <c r="D30" s="634">
        <f t="shared" si="0"/>
        <v>1.9269460558715094E-2</v>
      </c>
      <c r="G30" s="584"/>
      <c r="H30" s="594"/>
      <c r="I30" s="579"/>
      <c r="J30" s="584"/>
      <c r="K30" s="582"/>
      <c r="L30" s="594"/>
      <c r="M30" s="582"/>
      <c r="N30" s="594"/>
      <c r="O30" s="582"/>
    </row>
    <row r="31" spans="1:15" ht="14.4" x14ac:dyDescent="0.3">
      <c r="B31" s="596">
        <v>11</v>
      </c>
      <c r="C31" s="630">
        <v>1896.14</v>
      </c>
      <c r="D31" s="634">
        <f t="shared" si="0"/>
        <v>2.3481549380504896E-3</v>
      </c>
      <c r="G31" s="597"/>
      <c r="H31" s="597"/>
      <c r="I31" s="597"/>
      <c r="J31" s="597"/>
      <c r="K31" s="582"/>
      <c r="L31" s="597"/>
      <c r="M31" s="582"/>
      <c r="N31" s="597"/>
      <c r="O31" s="582"/>
    </row>
    <row r="32" spans="1:15" ht="14.4" x14ac:dyDescent="0.3">
      <c r="B32" s="596">
        <v>12</v>
      </c>
      <c r="C32" s="630">
        <v>1922.92</v>
      </c>
      <c r="D32" s="634">
        <f t="shared" si="0"/>
        <v>1.6504748643811122E-2</v>
      </c>
      <c r="G32" s="597"/>
      <c r="H32" s="597"/>
      <c r="I32" s="597"/>
      <c r="J32" s="597"/>
      <c r="K32" s="582"/>
      <c r="L32" s="597"/>
      <c r="M32" s="597"/>
      <c r="N32" s="597"/>
      <c r="O32" s="597"/>
    </row>
    <row r="33" spans="2:15" ht="14.4" x14ac:dyDescent="0.3">
      <c r="B33" s="596">
        <v>13</v>
      </c>
      <c r="C33" s="630">
        <v>1850.37</v>
      </c>
      <c r="D33" s="634">
        <f t="shared" si="0"/>
        <v>-2.1847039009397894E-2</v>
      </c>
      <c r="G33" s="598"/>
      <c r="H33" s="598"/>
      <c r="I33" s="598"/>
      <c r="J33" s="598"/>
      <c r="K33" s="599"/>
      <c r="L33" s="598"/>
      <c r="M33" s="598"/>
      <c r="N33" s="600"/>
      <c r="O33" s="598"/>
    </row>
    <row r="34" spans="2:15" ht="14.4" x14ac:dyDescent="0.3">
      <c r="B34" s="596">
        <v>14</v>
      </c>
      <c r="C34" s="630">
        <v>1908.91</v>
      </c>
      <c r="D34" s="634">
        <f t="shared" si="0"/>
        <v>9.0987039157414233E-3</v>
      </c>
      <c r="G34" s="601"/>
      <c r="H34" s="602"/>
      <c r="I34" s="602"/>
      <c r="J34" s="601"/>
      <c r="K34" s="603"/>
      <c r="L34" s="604"/>
      <c r="M34" s="602"/>
      <c r="N34" s="604"/>
      <c r="O34" s="602"/>
    </row>
    <row r="35" spans="2:15" ht="14.4" x14ac:dyDescent="0.3">
      <c r="B35" s="596">
        <v>15</v>
      </c>
      <c r="C35" s="630">
        <v>1852.33</v>
      </c>
      <c r="D35" s="634">
        <f t="shared" si="0"/>
        <v>-2.0810932823315319E-2</v>
      </c>
      <c r="G35" s="601"/>
      <c r="J35" s="601"/>
      <c r="K35" s="603"/>
      <c r="L35" s="604"/>
      <c r="N35" s="604"/>
    </row>
    <row r="36" spans="2:15" ht="14.4" x14ac:dyDescent="0.3">
      <c r="B36" s="596">
        <v>16</v>
      </c>
      <c r="C36" s="630">
        <v>1902.63</v>
      </c>
      <c r="D36" s="634">
        <f t="shared" si="0"/>
        <v>5.7789351154361023E-3</v>
      </c>
      <c r="G36" s="605"/>
      <c r="H36" s="605"/>
    </row>
    <row r="37" spans="2:15" ht="14.4" x14ac:dyDescent="0.3">
      <c r="B37" s="596">
        <v>17</v>
      </c>
      <c r="C37" s="630">
        <v>1894.49</v>
      </c>
      <c r="D37" s="634">
        <f t="shared" si="0"/>
        <v>1.475922689562575E-3</v>
      </c>
    </row>
    <row r="38" spans="2:15" ht="14.4" x14ac:dyDescent="0.3">
      <c r="B38" s="596">
        <v>18</v>
      </c>
      <c r="C38" s="630">
        <v>1930.88</v>
      </c>
      <c r="D38" s="634">
        <f t="shared" si="0"/>
        <v>2.0712608460758664E-2</v>
      </c>
    </row>
    <row r="39" spans="2:15" ht="14.4" x14ac:dyDescent="0.3">
      <c r="B39" s="596">
        <v>19</v>
      </c>
      <c r="C39" s="630">
        <v>1881.93</v>
      </c>
      <c r="D39" s="634">
        <f t="shared" si="0"/>
        <v>-5.1636149110480646E-3</v>
      </c>
    </row>
    <row r="40" spans="2:15" ht="14.25" customHeight="1" thickBot="1" x14ac:dyDescent="0.35">
      <c r="B40" s="606">
        <v>20</v>
      </c>
      <c r="C40" s="631">
        <v>1863.7</v>
      </c>
      <c r="D40" s="635">
        <f t="shared" si="0"/>
        <v>-1.4800459692826139E-2</v>
      </c>
    </row>
    <row r="41" spans="2:15" ht="14.25" customHeight="1" x14ac:dyDescent="0.3">
      <c r="B41" s="591"/>
      <c r="D41" s="607"/>
      <c r="F41" s="612"/>
      <c r="G41" s="584"/>
    </row>
    <row r="42" spans="2:15" ht="16.2" thickBot="1" x14ac:dyDescent="0.35"/>
    <row r="43" spans="2:15" ht="15.75" customHeight="1" x14ac:dyDescent="0.3">
      <c r="B43" s="614" t="s">
        <v>19</v>
      </c>
      <c r="C43" s="688">
        <f>SUM(C21:C40)</f>
        <v>37833.96</v>
      </c>
    </row>
    <row r="44" spans="2:15" ht="16.2" thickBot="1" x14ac:dyDescent="0.35">
      <c r="B44" s="615" t="s">
        <v>20</v>
      </c>
      <c r="C44" s="689">
        <f>AVERAGE(C21:C40)</f>
        <v>1891.6979999999999</v>
      </c>
      <c r="M44" s="590"/>
    </row>
    <row r="45" spans="2:15" ht="14.25" customHeight="1" thickBot="1" x14ac:dyDescent="0.35">
      <c r="M45" s="590"/>
    </row>
    <row r="46" spans="2:15" ht="30.75" customHeight="1" thickBot="1" x14ac:dyDescent="0.35">
      <c r="B46" s="617" t="s">
        <v>20</v>
      </c>
      <c r="C46" s="618" t="s">
        <v>21</v>
      </c>
      <c r="I46" s="578"/>
      <c r="J46" s="608"/>
      <c r="K46" s="608"/>
      <c r="L46" s="578"/>
      <c r="M46" s="590"/>
    </row>
    <row r="47" spans="2:15" ht="15.75" customHeight="1" thickBot="1" x14ac:dyDescent="0.35">
      <c r="B47" s="759">
        <f>C44</f>
        <v>1891.6979999999999</v>
      </c>
      <c r="C47" s="619">
        <f>-IF(C44&lt;=80,10%,IF(C44&lt;250,7.5%,5%))</f>
        <v>-0.05</v>
      </c>
      <c r="D47" s="621">
        <f>IF(C44&lt;=80,C44*0.9,IF(C44&lt;250,C44*0.925,C44*0.95))</f>
        <v>1797.1130999999998</v>
      </c>
      <c r="I47" s="578"/>
      <c r="J47" s="578"/>
      <c r="K47" s="578"/>
      <c r="L47" s="578"/>
      <c r="M47" s="590"/>
    </row>
    <row r="48" spans="2:15" ht="15.75" customHeight="1" thickBot="1" x14ac:dyDescent="0.35">
      <c r="B48" s="760"/>
      <c r="C48" s="620">
        <f>IF(C44&lt;=80, 10%, IF(C44&lt;250, 7.5%, 5%))</f>
        <v>0.05</v>
      </c>
      <c r="D48" s="622">
        <f>IF(C44&lt;=80, C44*1.1, IF(C44&lt;250, C44*1.075, C44*1.05))</f>
        <v>1986.2828999999999</v>
      </c>
    </row>
    <row r="49" spans="1:15" ht="14.25" customHeight="1" x14ac:dyDescent="0.3">
      <c r="A49" s="591"/>
      <c r="D49" s="616"/>
    </row>
    <row r="50" spans="1:15" ht="15" customHeight="1" thickBot="1" x14ac:dyDescent="0.35">
      <c r="A50" s="624"/>
      <c r="B50" s="625"/>
      <c r="C50" s="624"/>
      <c r="D50" s="626"/>
      <c r="E50" s="624"/>
      <c r="F50" s="627"/>
      <c r="G50" s="627"/>
    </row>
    <row r="51" spans="1:15" ht="15" customHeight="1" x14ac:dyDescent="0.3">
      <c r="D51" s="590"/>
      <c r="E51" s="612"/>
      <c r="F51" s="612"/>
    </row>
    <row r="52" spans="1:15" ht="15" customHeight="1" x14ac:dyDescent="0.3">
      <c r="B52" s="761" t="s">
        <v>4</v>
      </c>
      <c r="C52" s="761"/>
      <c r="D52" s="609" t="s">
        <v>5</v>
      </c>
      <c r="E52" s="623"/>
      <c r="F52" s="609" t="s">
        <v>6</v>
      </c>
      <c r="I52" s="535"/>
      <c r="J52" s="535"/>
      <c r="K52" s="535"/>
      <c r="L52" s="535"/>
      <c r="M52" s="535"/>
      <c r="N52" s="535"/>
      <c r="O52" s="535"/>
    </row>
    <row r="53" spans="1:15" ht="15" customHeight="1" x14ac:dyDescent="0.3">
      <c r="A53" s="610" t="s">
        <v>7</v>
      </c>
      <c r="B53" s="611"/>
      <c r="C53" s="611"/>
      <c r="D53" s="611"/>
      <c r="E53" s="578"/>
      <c r="F53" s="611"/>
    </row>
    <row r="54" spans="1:15" ht="13.8" x14ac:dyDescent="0.3">
      <c r="A54" s="610"/>
      <c r="B54" s="591"/>
      <c r="C54" s="591"/>
      <c r="D54" s="591"/>
      <c r="E54" s="578"/>
      <c r="F54" s="591"/>
    </row>
    <row r="55" spans="1:15" ht="13.8" x14ac:dyDescent="0.3">
      <c r="A55" s="610" t="s">
        <v>8</v>
      </c>
      <c r="B55" s="611"/>
      <c r="C55" s="611"/>
      <c r="D55" s="611"/>
      <c r="E55" s="578"/>
      <c r="F55" s="611"/>
    </row>
  </sheetData>
  <sheetProtection formatCells="0" formatColumns="0" formatRows="0" insertColumns="0" insertRows="0" insertHyperlinks="0" deleteColumns="0" deleteRows="0" sort="0" autoFilter="0" pivotTables="0"/>
  <mergeCells count="11">
    <mergeCell ref="A14:B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2:C52"/>
  </mergeCells>
  <conditionalFormatting sqref="D21:D40">
    <cfRule type="cellIs" dxfId="28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4"/>
  <sheetViews>
    <sheetView view="pageBreakPreview" topLeftCell="A147" zoomScale="60" zoomScaleNormal="40" zoomScalePageLayoutView="55" workbookViewId="0">
      <selection activeCell="B167" sqref="B167:C167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577"/>
    <col min="13" max="16384" width="9.109375" style="576"/>
  </cols>
  <sheetData>
    <row r="1" spans="1:12" customFormat="1" ht="18.75" customHeight="1" x14ac:dyDescent="0.3">
      <c r="A1" s="781" t="s">
        <v>22</v>
      </c>
      <c r="B1" s="781"/>
      <c r="C1" s="781"/>
      <c r="D1" s="781"/>
      <c r="E1" s="781"/>
      <c r="F1" s="781"/>
      <c r="G1" s="781"/>
      <c r="H1" s="781"/>
      <c r="I1" s="781"/>
      <c r="J1" s="1"/>
      <c r="K1" s="1"/>
      <c r="L1" s="1"/>
    </row>
    <row r="2" spans="1:12" customFormat="1" ht="18.75" customHeight="1" x14ac:dyDescent="0.3">
      <c r="A2" s="781"/>
      <c r="B2" s="781"/>
      <c r="C2" s="781"/>
      <c r="D2" s="781"/>
      <c r="E2" s="781"/>
      <c r="F2" s="781"/>
      <c r="G2" s="781"/>
      <c r="H2" s="781"/>
      <c r="I2" s="781"/>
      <c r="J2" s="1"/>
      <c r="K2" s="1"/>
      <c r="L2" s="1"/>
    </row>
    <row r="3" spans="1:12" customFormat="1" ht="18.75" customHeight="1" x14ac:dyDescent="0.3">
      <c r="A3" s="781"/>
      <c r="B3" s="781"/>
      <c r="C3" s="781"/>
      <c r="D3" s="781"/>
      <c r="E3" s="781"/>
      <c r="F3" s="781"/>
      <c r="G3" s="781"/>
      <c r="H3" s="781"/>
      <c r="I3" s="781"/>
      <c r="J3" s="1"/>
      <c r="K3" s="1"/>
      <c r="L3" s="1"/>
    </row>
    <row r="4" spans="1:12" customFormat="1" ht="18.75" customHeight="1" x14ac:dyDescent="0.3">
      <c r="A4" s="781"/>
      <c r="B4" s="781"/>
      <c r="C4" s="781"/>
      <c r="D4" s="781"/>
      <c r="E4" s="781"/>
      <c r="F4" s="781"/>
      <c r="G4" s="781"/>
      <c r="H4" s="781"/>
      <c r="I4" s="781"/>
      <c r="J4" s="1"/>
      <c r="K4" s="1"/>
      <c r="L4" s="1"/>
    </row>
    <row r="5" spans="1:12" customFormat="1" ht="18.75" customHeight="1" x14ac:dyDescent="0.3">
      <c r="A5" s="781"/>
      <c r="B5" s="781"/>
      <c r="C5" s="781"/>
      <c r="D5" s="781"/>
      <c r="E5" s="781"/>
      <c r="F5" s="781"/>
      <c r="G5" s="781"/>
      <c r="H5" s="781"/>
      <c r="I5" s="781"/>
      <c r="J5" s="1"/>
      <c r="K5" s="1"/>
      <c r="L5" s="1"/>
    </row>
    <row r="6" spans="1:12" customFormat="1" ht="18.75" customHeight="1" x14ac:dyDescent="0.3">
      <c r="A6" s="781"/>
      <c r="B6" s="781"/>
      <c r="C6" s="781"/>
      <c r="D6" s="781"/>
      <c r="E6" s="781"/>
      <c r="F6" s="781"/>
      <c r="G6" s="781"/>
      <c r="H6" s="781"/>
      <c r="I6" s="781"/>
      <c r="J6" s="1"/>
      <c r="K6" s="1"/>
      <c r="L6" s="1"/>
    </row>
    <row r="7" spans="1:12" customFormat="1" ht="18.75" customHeight="1" x14ac:dyDescent="0.3">
      <c r="A7" s="781"/>
      <c r="B7" s="781"/>
      <c r="C7" s="781"/>
      <c r="D7" s="781"/>
      <c r="E7" s="781"/>
      <c r="F7" s="781"/>
      <c r="G7" s="781"/>
      <c r="H7" s="781"/>
      <c r="I7" s="781"/>
      <c r="J7" s="1"/>
      <c r="K7" s="1"/>
      <c r="L7" s="1"/>
    </row>
    <row r="8" spans="1:12" customFormat="1" x14ac:dyDescent="0.3">
      <c r="A8" s="782" t="s">
        <v>23</v>
      </c>
      <c r="B8" s="782"/>
      <c r="C8" s="782"/>
      <c r="D8" s="782"/>
      <c r="E8" s="782"/>
      <c r="F8" s="782"/>
      <c r="G8" s="782"/>
      <c r="H8" s="782"/>
      <c r="I8" s="782"/>
      <c r="J8" s="1"/>
      <c r="K8" s="1"/>
      <c r="L8" s="1"/>
    </row>
    <row r="9" spans="1:12" customFormat="1" x14ac:dyDescent="0.3">
      <c r="A9" s="782"/>
      <c r="B9" s="782"/>
      <c r="C9" s="782"/>
      <c r="D9" s="782"/>
      <c r="E9" s="782"/>
      <c r="F9" s="782"/>
      <c r="G9" s="782"/>
      <c r="H9" s="782"/>
      <c r="I9" s="782"/>
      <c r="J9" s="1"/>
      <c r="K9" s="1"/>
      <c r="L9" s="1"/>
    </row>
    <row r="10" spans="1:12" customFormat="1" x14ac:dyDescent="0.3">
      <c r="A10" s="782"/>
      <c r="B10" s="782"/>
      <c r="C10" s="782"/>
      <c r="D10" s="782"/>
      <c r="E10" s="782"/>
      <c r="F10" s="782"/>
      <c r="G10" s="782"/>
      <c r="H10" s="782"/>
      <c r="I10" s="782"/>
      <c r="J10" s="1"/>
      <c r="K10" s="1"/>
      <c r="L10" s="1"/>
    </row>
    <row r="11" spans="1:12" customFormat="1" x14ac:dyDescent="0.3">
      <c r="A11" s="782"/>
      <c r="B11" s="782"/>
      <c r="C11" s="782"/>
      <c r="D11" s="782"/>
      <c r="E11" s="782"/>
      <c r="F11" s="782"/>
      <c r="G11" s="782"/>
      <c r="H11" s="782"/>
      <c r="I11" s="782"/>
      <c r="J11" s="1"/>
      <c r="K11" s="1"/>
      <c r="L11" s="1"/>
    </row>
    <row r="12" spans="1:12" customFormat="1" x14ac:dyDescent="0.3">
      <c r="A12" s="782"/>
      <c r="B12" s="782"/>
      <c r="C12" s="782"/>
      <c r="D12" s="782"/>
      <c r="E12" s="782"/>
      <c r="F12" s="782"/>
      <c r="G12" s="782"/>
      <c r="H12" s="782"/>
      <c r="I12" s="782"/>
      <c r="J12" s="1"/>
      <c r="K12" s="1"/>
      <c r="L12" s="1"/>
    </row>
    <row r="13" spans="1:12" customFormat="1" x14ac:dyDescent="0.3">
      <c r="A13" s="782"/>
      <c r="B13" s="782"/>
      <c r="C13" s="782"/>
      <c r="D13" s="782"/>
      <c r="E13" s="782"/>
      <c r="F13" s="782"/>
      <c r="G13" s="782"/>
      <c r="H13" s="782"/>
      <c r="I13" s="782"/>
      <c r="J13" s="1"/>
      <c r="K13" s="1"/>
      <c r="L13" s="1"/>
    </row>
    <row r="14" spans="1:12" customFormat="1" x14ac:dyDescent="0.3">
      <c r="A14" s="782"/>
      <c r="B14" s="782"/>
      <c r="C14" s="782"/>
      <c r="D14" s="782"/>
      <c r="E14" s="782"/>
      <c r="F14" s="782"/>
      <c r="G14" s="782"/>
      <c r="H14" s="782"/>
      <c r="I14" s="782"/>
      <c r="J14" s="1"/>
      <c r="K14" s="1"/>
      <c r="L14" s="1"/>
    </row>
    <row r="15" spans="1:12" customFormat="1" ht="19.5" customHeight="1" x14ac:dyDescent="0.35">
      <c r="A15" s="35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65" t="s">
        <v>9</v>
      </c>
      <c r="B16" s="766"/>
      <c r="C16" s="766"/>
      <c r="D16" s="766"/>
      <c r="E16" s="766"/>
      <c r="F16" s="766"/>
      <c r="G16" s="766"/>
      <c r="H16" s="767"/>
      <c r="I16" s="1"/>
      <c r="J16" s="1"/>
      <c r="K16" s="1"/>
      <c r="L16" s="1"/>
    </row>
    <row r="17" spans="1:14" customFormat="1" ht="20.25" customHeight="1" x14ac:dyDescent="0.3">
      <c r="A17" s="768" t="s">
        <v>24</v>
      </c>
      <c r="B17" s="768"/>
      <c r="C17" s="768"/>
      <c r="D17" s="768"/>
      <c r="E17" s="768"/>
      <c r="F17" s="768"/>
      <c r="G17" s="768"/>
      <c r="H17" s="768"/>
      <c r="I17" s="1"/>
      <c r="J17" s="1"/>
      <c r="K17" s="1"/>
      <c r="L17" s="1"/>
    </row>
    <row r="18" spans="1:14" customFormat="1" ht="26.25" customHeight="1" x14ac:dyDescent="0.5">
      <c r="A18" s="358" t="s">
        <v>11</v>
      </c>
      <c r="B18" s="644" t="s">
        <v>126</v>
      </c>
      <c r="C18" s="644"/>
      <c r="D18" s="522"/>
      <c r="E18" s="359"/>
      <c r="F18" s="360"/>
      <c r="G18" s="360"/>
      <c r="H18" s="360"/>
      <c r="I18" s="1"/>
      <c r="J18" s="1"/>
      <c r="K18" s="1"/>
      <c r="L18" s="1"/>
    </row>
    <row r="19" spans="1:14" customFormat="1" ht="26.25" customHeight="1" x14ac:dyDescent="0.5">
      <c r="A19" s="358" t="s">
        <v>12</v>
      </c>
      <c r="B19" s="361" t="s">
        <v>139</v>
      </c>
      <c r="C19" s="534">
        <v>29</v>
      </c>
      <c r="D19" s="360"/>
      <c r="E19" s="360"/>
      <c r="F19" s="360"/>
      <c r="G19" s="360"/>
      <c r="H19" s="360"/>
      <c r="I19" s="1"/>
      <c r="J19" s="1"/>
      <c r="K19" s="1"/>
      <c r="L19" s="1"/>
    </row>
    <row r="20" spans="1:14" customFormat="1" ht="26.25" customHeight="1" x14ac:dyDescent="0.5">
      <c r="A20" s="358" t="s">
        <v>13</v>
      </c>
      <c r="B20" s="645" t="s">
        <v>128</v>
      </c>
      <c r="C20" s="645"/>
      <c r="D20" s="360"/>
      <c r="E20" s="360"/>
      <c r="F20" s="360"/>
      <c r="G20" s="360"/>
      <c r="H20" s="360"/>
      <c r="I20" s="1"/>
      <c r="J20" s="1"/>
      <c r="K20" s="1"/>
      <c r="L20" s="1"/>
    </row>
    <row r="21" spans="1:14" customFormat="1" ht="26.25" customHeight="1" x14ac:dyDescent="0.5">
      <c r="A21" s="358" t="s">
        <v>14</v>
      </c>
      <c r="B21" s="645" t="s">
        <v>129</v>
      </c>
      <c r="C21" s="645"/>
      <c r="D21" s="645"/>
      <c r="E21" s="645"/>
      <c r="F21" s="645"/>
      <c r="G21" s="645"/>
      <c r="H21" s="645"/>
      <c r="I21" s="362"/>
      <c r="J21" s="1"/>
      <c r="K21" s="1"/>
      <c r="L21" s="1"/>
    </row>
    <row r="22" spans="1:14" customFormat="1" ht="26.25" customHeight="1" x14ac:dyDescent="0.5">
      <c r="A22" s="358" t="s">
        <v>15</v>
      </c>
      <c r="B22" s="363">
        <v>42495.458773148152</v>
      </c>
      <c r="C22" s="360"/>
      <c r="D22" s="360"/>
      <c r="E22" s="360"/>
      <c r="F22" s="360"/>
      <c r="G22" s="360"/>
      <c r="H22" s="360"/>
      <c r="I22" s="1"/>
      <c r="J22" s="1"/>
      <c r="K22" s="1"/>
      <c r="L22" s="1"/>
    </row>
    <row r="23" spans="1:14" customFormat="1" ht="26.25" customHeight="1" x14ac:dyDescent="0.5">
      <c r="A23" s="358" t="s">
        <v>16</v>
      </c>
      <c r="B23" s="363">
        <v>42500.458773148152</v>
      </c>
      <c r="C23" s="360"/>
      <c r="D23" s="360"/>
      <c r="E23" s="360"/>
      <c r="F23" s="360"/>
      <c r="G23" s="360"/>
      <c r="H23" s="360"/>
      <c r="I23" s="1"/>
      <c r="J23" s="1"/>
      <c r="K23" s="1"/>
      <c r="L23" s="1"/>
    </row>
    <row r="24" spans="1:14" customFormat="1" ht="18" x14ac:dyDescent="0.35">
      <c r="A24" s="358"/>
      <c r="B24" s="364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365" t="s">
        <v>0</v>
      </c>
      <c r="B25" s="364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366" t="s">
        <v>1</v>
      </c>
      <c r="B26" s="647" t="s">
        <v>102</v>
      </c>
      <c r="C26" s="483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367" t="s">
        <v>25</v>
      </c>
      <c r="B27" s="648" t="s">
        <v>103</v>
      </c>
      <c r="C27" s="483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x14ac:dyDescent="0.45">
      <c r="A28" s="367" t="s">
        <v>2</v>
      </c>
      <c r="B28" s="368">
        <v>101.74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73" customFormat="1" ht="27" customHeight="1" x14ac:dyDescent="0.5">
      <c r="A29" s="367" t="s">
        <v>26</v>
      </c>
      <c r="B29" s="369">
        <v>0</v>
      </c>
      <c r="C29" s="769" t="s">
        <v>27</v>
      </c>
      <c r="D29" s="770"/>
      <c r="E29" s="770"/>
      <c r="F29" s="770"/>
      <c r="G29" s="771"/>
      <c r="H29" s="2"/>
      <c r="I29" s="370"/>
      <c r="J29" s="370"/>
      <c r="K29" s="370"/>
      <c r="L29" s="650"/>
    </row>
    <row r="30" spans="1:14" s="573" customFormat="1" ht="19.5" customHeight="1" x14ac:dyDescent="0.35">
      <c r="A30" s="367" t="s">
        <v>28</v>
      </c>
      <c r="B30" s="371">
        <f>B28-B29</f>
        <v>101.74</v>
      </c>
      <c r="C30" s="372"/>
      <c r="D30" s="372"/>
      <c r="E30" s="372"/>
      <c r="F30" s="372"/>
      <c r="G30" s="373"/>
      <c r="H30" s="2"/>
      <c r="I30" s="370"/>
      <c r="J30" s="370"/>
      <c r="K30" s="370"/>
      <c r="L30" s="650"/>
    </row>
    <row r="31" spans="1:14" s="573" customFormat="1" ht="27" customHeight="1" x14ac:dyDescent="0.45">
      <c r="A31" s="367" t="s">
        <v>29</v>
      </c>
      <c r="B31" s="374">
        <v>1</v>
      </c>
      <c r="C31" s="772" t="s">
        <v>30</v>
      </c>
      <c r="D31" s="773"/>
      <c r="E31" s="773"/>
      <c r="F31" s="773"/>
      <c r="G31" s="773"/>
      <c r="H31" s="774"/>
      <c r="I31" s="370"/>
      <c r="J31" s="370"/>
      <c r="K31" s="370"/>
      <c r="L31" s="650"/>
    </row>
    <row r="32" spans="1:14" s="573" customFormat="1" ht="27" customHeight="1" x14ac:dyDescent="0.45">
      <c r="A32" s="367" t="s">
        <v>31</v>
      </c>
      <c r="B32" s="374">
        <v>1</v>
      </c>
      <c r="C32" s="772" t="s">
        <v>32</v>
      </c>
      <c r="D32" s="773"/>
      <c r="E32" s="773"/>
      <c r="F32" s="773"/>
      <c r="G32" s="773"/>
      <c r="H32" s="774"/>
      <c r="I32" s="370"/>
      <c r="J32" s="370"/>
      <c r="K32" s="370"/>
      <c r="L32" s="574"/>
      <c r="M32" s="574"/>
      <c r="N32" s="575"/>
    </row>
    <row r="33" spans="1:14" s="573" customFormat="1" ht="17.25" customHeight="1" x14ac:dyDescent="0.35">
      <c r="A33" s="367"/>
      <c r="B33" s="375"/>
      <c r="C33" s="376"/>
      <c r="D33" s="376"/>
      <c r="E33" s="376"/>
      <c r="F33" s="376"/>
      <c r="G33" s="376"/>
      <c r="H33" s="376"/>
      <c r="I33" s="370"/>
      <c r="J33" s="370"/>
      <c r="K33" s="370"/>
      <c r="L33" s="574"/>
      <c r="M33" s="574"/>
      <c r="N33" s="575"/>
    </row>
    <row r="34" spans="1:14" s="573" customFormat="1" ht="18" x14ac:dyDescent="0.35">
      <c r="A34" s="367" t="s">
        <v>33</v>
      </c>
      <c r="B34" s="377">
        <f>B31/B32</f>
        <v>1</v>
      </c>
      <c r="C34" s="357" t="s">
        <v>34</v>
      </c>
      <c r="D34" s="357"/>
      <c r="E34" s="357"/>
      <c r="F34" s="357"/>
      <c r="G34" s="357"/>
      <c r="I34" s="370"/>
      <c r="J34" s="370"/>
      <c r="K34" s="370"/>
      <c r="L34" s="574"/>
      <c r="M34" s="574"/>
      <c r="N34" s="575"/>
    </row>
    <row r="35" spans="1:14" s="573" customFormat="1" ht="19.5" customHeight="1" x14ac:dyDescent="0.35">
      <c r="A35" s="367"/>
      <c r="B35" s="371"/>
      <c r="C35" s="2"/>
      <c r="D35" s="2"/>
      <c r="E35" s="2"/>
      <c r="F35" s="2"/>
      <c r="G35" s="357"/>
      <c r="I35" s="370"/>
      <c r="J35" s="370"/>
      <c r="K35" s="370"/>
      <c r="L35" s="574"/>
      <c r="M35" s="574"/>
      <c r="N35" s="575"/>
    </row>
    <row r="36" spans="1:14" s="573" customFormat="1" ht="27" customHeight="1" x14ac:dyDescent="0.45">
      <c r="A36" s="378" t="s">
        <v>35</v>
      </c>
      <c r="B36" s="379">
        <v>25</v>
      </c>
      <c r="C36" s="357"/>
      <c r="D36" s="794" t="s">
        <v>36</v>
      </c>
      <c r="E36" s="795"/>
      <c r="F36" s="794" t="s">
        <v>37</v>
      </c>
      <c r="G36" s="796"/>
      <c r="H36" s="483"/>
      <c r="I36" s="2"/>
      <c r="J36" s="370"/>
      <c r="K36" s="370"/>
      <c r="L36" s="574"/>
      <c r="M36" s="574"/>
      <c r="N36" s="575"/>
    </row>
    <row r="37" spans="1:14" s="573" customFormat="1" ht="27" customHeight="1" x14ac:dyDescent="0.45">
      <c r="A37" s="380" t="s">
        <v>38</v>
      </c>
      <c r="B37" s="381">
        <v>5</v>
      </c>
      <c r="C37" s="382" t="s">
        <v>39</v>
      </c>
      <c r="D37" s="383" t="s">
        <v>40</v>
      </c>
      <c r="E37" s="384" t="s">
        <v>41</v>
      </c>
      <c r="F37" s="383" t="s">
        <v>40</v>
      </c>
      <c r="G37" s="385" t="s">
        <v>41</v>
      </c>
      <c r="H37" s="483"/>
      <c r="I37" s="386" t="s">
        <v>42</v>
      </c>
      <c r="J37" s="370"/>
      <c r="K37" s="370"/>
      <c r="L37" s="574"/>
      <c r="M37" s="574"/>
      <c r="N37" s="575"/>
    </row>
    <row r="38" spans="1:14" s="573" customFormat="1" ht="26.25" customHeight="1" x14ac:dyDescent="0.45">
      <c r="A38" s="380" t="s">
        <v>43</v>
      </c>
      <c r="B38" s="381">
        <v>50</v>
      </c>
      <c r="C38" s="387">
        <v>1</v>
      </c>
      <c r="D38" s="388">
        <v>19226668</v>
      </c>
      <c r="E38" s="389">
        <f>IF(ISBLANK(D38),"-",$D$48/$D$45*D38)</f>
        <v>16743513.42749566</v>
      </c>
      <c r="F38" s="388">
        <v>22306491</v>
      </c>
      <c r="G38" s="390">
        <f>IF(ISBLANK(F38),"-",$D$48/$F$45*F38)</f>
        <v>16961059.361843482</v>
      </c>
      <c r="H38" s="483"/>
      <c r="I38" s="391"/>
      <c r="J38" s="370"/>
      <c r="K38" s="370"/>
      <c r="L38" s="574"/>
      <c r="M38" s="574"/>
      <c r="N38" s="575"/>
    </row>
    <row r="39" spans="1:14" s="573" customFormat="1" ht="26.25" customHeight="1" x14ac:dyDescent="0.45">
      <c r="A39" s="380" t="s">
        <v>44</v>
      </c>
      <c r="B39" s="381">
        <v>1</v>
      </c>
      <c r="C39" s="392">
        <v>2</v>
      </c>
      <c r="D39" s="393">
        <v>19119356</v>
      </c>
      <c r="E39" s="394">
        <f>IF(ISBLANK(D39),"-",$D$48/$D$45*D39)</f>
        <v>16650060.941972354</v>
      </c>
      <c r="F39" s="393">
        <v>22233509</v>
      </c>
      <c r="G39" s="395">
        <f>IF(ISBLANK(F39),"-",$D$48/$F$45*F39)</f>
        <v>16905566.454673722</v>
      </c>
      <c r="H39" s="483"/>
      <c r="I39" s="787">
        <f>ABS((F43/D43*D42)-F42)/D42</f>
        <v>1.4071320041421474E-2</v>
      </c>
      <c r="J39" s="370"/>
      <c r="K39" s="370"/>
      <c r="L39" s="574"/>
      <c r="M39" s="574"/>
      <c r="N39" s="575"/>
    </row>
    <row r="40" spans="1:14" ht="26.25" customHeight="1" x14ac:dyDescent="0.45">
      <c r="A40" s="380" t="s">
        <v>45</v>
      </c>
      <c r="B40" s="381">
        <v>1</v>
      </c>
      <c r="C40" s="392">
        <v>3</v>
      </c>
      <c r="D40" s="393">
        <v>19138415</v>
      </c>
      <c r="E40" s="394">
        <f>IF(ISBLANK(D40),"-",$D$48/$D$45*D40)</f>
        <v>16666658.441987159</v>
      </c>
      <c r="F40" s="393">
        <v>22106051</v>
      </c>
      <c r="G40" s="395">
        <f>IF(ISBLANK(F40),"-",$D$48/$F$45*F40)</f>
        <v>16808651.942026176</v>
      </c>
      <c r="I40" s="787"/>
      <c r="L40" s="574"/>
      <c r="M40" s="574"/>
      <c r="N40" s="653"/>
    </row>
    <row r="41" spans="1:14" ht="27" customHeight="1" x14ac:dyDescent="0.45">
      <c r="A41" s="380" t="s">
        <v>46</v>
      </c>
      <c r="B41" s="381">
        <v>1</v>
      </c>
      <c r="C41" s="397">
        <v>4</v>
      </c>
      <c r="D41" s="398"/>
      <c r="E41" s="399" t="str">
        <f>IF(ISBLANK(D41),"-",$D$48/$D$45*D41)</f>
        <v>-</v>
      </c>
      <c r="F41" s="398"/>
      <c r="G41" s="400" t="str">
        <f>IF(ISBLANK(F41),"-",$D$48/$F$45*F41)</f>
        <v>-</v>
      </c>
      <c r="I41" s="401"/>
      <c r="L41" s="574"/>
      <c r="M41" s="574"/>
      <c r="N41" s="653"/>
    </row>
    <row r="42" spans="1:14" ht="27" customHeight="1" x14ac:dyDescent="0.45">
      <c r="A42" s="380" t="s">
        <v>47</v>
      </c>
      <c r="B42" s="381">
        <v>1</v>
      </c>
      <c r="C42" s="402" t="s">
        <v>48</v>
      </c>
      <c r="D42" s="403">
        <f>AVERAGE(D38:D41)</f>
        <v>19161479.666666668</v>
      </c>
      <c r="E42" s="404">
        <f>AVERAGE(E38:E41)</f>
        <v>16686744.270485058</v>
      </c>
      <c r="F42" s="403">
        <f>AVERAGE(F38:F41)</f>
        <v>22215350.333333332</v>
      </c>
      <c r="G42" s="405">
        <f>AVERAGE(G38:G41)</f>
        <v>16891759.252847794</v>
      </c>
      <c r="H42" s="406"/>
    </row>
    <row r="43" spans="1:14" ht="26.25" customHeight="1" x14ac:dyDescent="0.45">
      <c r="A43" s="380" t="s">
        <v>49</v>
      </c>
      <c r="B43" s="381">
        <v>1</v>
      </c>
      <c r="C43" s="407" t="s">
        <v>50</v>
      </c>
      <c r="D43" s="408">
        <v>16.93</v>
      </c>
      <c r="E43" s="396"/>
      <c r="F43" s="649">
        <v>19.39</v>
      </c>
      <c r="H43" s="406"/>
    </row>
    <row r="44" spans="1:14" ht="26.25" customHeight="1" x14ac:dyDescent="0.45">
      <c r="A44" s="380" t="s">
        <v>51</v>
      </c>
      <c r="B44" s="381">
        <v>1</v>
      </c>
      <c r="C44" s="409" t="s">
        <v>52</v>
      </c>
      <c r="D44" s="410">
        <f>D43*$B$34</f>
        <v>16.93</v>
      </c>
      <c r="E44" s="411"/>
      <c r="F44" s="410">
        <f>F43*$B$34</f>
        <v>19.39</v>
      </c>
      <c r="H44" s="406"/>
    </row>
    <row r="45" spans="1:14" ht="19.5" customHeight="1" x14ac:dyDescent="0.35">
      <c r="A45" s="380" t="s">
        <v>53</v>
      </c>
      <c r="B45" s="412">
        <f>(B44/B43)*(B42/B41)*(B40/B39)*(B38/B37)*B36</f>
        <v>250</v>
      </c>
      <c r="C45" s="409" t="s">
        <v>54</v>
      </c>
      <c r="D45" s="413">
        <f>D44*$B$30/100</f>
        <v>17.224581999999998</v>
      </c>
      <c r="E45" s="414"/>
      <c r="F45" s="413">
        <f>F44*$B$30/100</f>
        <v>19.727385999999999</v>
      </c>
      <c r="H45" s="406"/>
    </row>
    <row r="46" spans="1:14" ht="19.5" customHeight="1" x14ac:dyDescent="0.35">
      <c r="A46" s="783" t="s">
        <v>55</v>
      </c>
      <c r="B46" s="784"/>
      <c r="C46" s="409" t="s">
        <v>56</v>
      </c>
      <c r="D46" s="415">
        <f>D45/$B$45</f>
        <v>6.8898327999999995E-2</v>
      </c>
      <c r="E46" s="416"/>
      <c r="F46" s="417">
        <f>F45/$B$45</f>
        <v>7.8909543999999998E-2</v>
      </c>
      <c r="H46" s="406"/>
    </row>
    <row r="47" spans="1:14" ht="27" customHeight="1" x14ac:dyDescent="0.45">
      <c r="A47" s="785"/>
      <c r="B47" s="786"/>
      <c r="C47" s="418" t="s">
        <v>57</v>
      </c>
      <c r="D47" s="419">
        <v>0.06</v>
      </c>
      <c r="E47" s="420"/>
      <c r="F47" s="416"/>
      <c r="H47" s="406"/>
    </row>
    <row r="48" spans="1:14" ht="18" x14ac:dyDescent="0.35">
      <c r="C48" s="421" t="s">
        <v>58</v>
      </c>
      <c r="D48" s="413">
        <f>D47*$B$45</f>
        <v>15</v>
      </c>
      <c r="F48" s="422"/>
      <c r="H48" s="406"/>
    </row>
    <row r="49" spans="1:12" ht="19.5" customHeight="1" x14ac:dyDescent="0.35">
      <c r="C49" s="423" t="s">
        <v>59</v>
      </c>
      <c r="D49" s="424">
        <f>D48/B34</f>
        <v>15</v>
      </c>
      <c r="F49" s="422"/>
      <c r="H49" s="406"/>
    </row>
    <row r="50" spans="1:12" ht="18" x14ac:dyDescent="0.35">
      <c r="C50" s="378" t="s">
        <v>60</v>
      </c>
      <c r="D50" s="425">
        <f>AVERAGE(E38:E41,G38:G41)</f>
        <v>16789251.761666428</v>
      </c>
      <c r="F50" s="426"/>
      <c r="H50" s="406"/>
    </row>
    <row r="51" spans="1:12" ht="18" x14ac:dyDescent="0.35">
      <c r="C51" s="380" t="s">
        <v>61</v>
      </c>
      <c r="D51" s="427">
        <f>STDEV(E38:E41,G38:G41)/D50</f>
        <v>7.5302153054457692E-3</v>
      </c>
      <c r="F51" s="426"/>
      <c r="H51" s="406"/>
    </row>
    <row r="52" spans="1:12" ht="19.5" customHeight="1" x14ac:dyDescent="0.35">
      <c r="C52" s="428" t="s">
        <v>3</v>
      </c>
      <c r="D52" s="429">
        <f>COUNT(E38:E41,G38:G41)</f>
        <v>6</v>
      </c>
      <c r="F52" s="426"/>
    </row>
    <row r="53" spans="1:12" x14ac:dyDescent="0.3">
      <c r="G53" s="652"/>
    </row>
    <row r="54" spans="1:12" ht="18" x14ac:dyDescent="0.35">
      <c r="A54" s="430" t="s">
        <v>0</v>
      </c>
      <c r="B54" s="431" t="s">
        <v>62</v>
      </c>
      <c r="G54" s="651"/>
    </row>
    <row r="55" spans="1:12" ht="18" x14ac:dyDescent="0.35">
      <c r="A55" s="357" t="s">
        <v>63</v>
      </c>
      <c r="B55" s="432" t="str">
        <f>B21</f>
        <v>Each film-coated tablet contains Efavirenz 600 mg, Lamivudine USP 300 mg, Tenofovir Disoproxil Fumarate 300mg equivalent to tenofovir disoproxil 245 mg</v>
      </c>
    </row>
    <row r="56" spans="1:12" ht="26.25" customHeight="1" x14ac:dyDescent="0.45">
      <c r="A56" s="433" t="s">
        <v>64</v>
      </c>
      <c r="B56" s="434">
        <v>300</v>
      </c>
      <c r="C56" s="357" t="str">
        <f>B20</f>
        <v>Efavirenz 600 mg, Lamivudine 300 mg and Tenofovir Disoproxil Fumarate 300 mg</v>
      </c>
      <c r="H56" s="435"/>
    </row>
    <row r="57" spans="1:12" ht="18" x14ac:dyDescent="0.35">
      <c r="A57" s="432" t="s">
        <v>138</v>
      </c>
      <c r="B57" s="690">
        <f>'Uniformity '!C44</f>
        <v>1891.6979999999999</v>
      </c>
      <c r="H57" s="435"/>
    </row>
    <row r="58" spans="1:12" ht="19.5" customHeight="1" x14ac:dyDescent="0.35">
      <c r="H58" s="435"/>
    </row>
    <row r="59" spans="1:12" s="573" customFormat="1" ht="27" customHeight="1" x14ac:dyDescent="0.45">
      <c r="A59" s="378" t="s">
        <v>65</v>
      </c>
      <c r="B59" s="379">
        <v>200</v>
      </c>
      <c r="C59" s="357"/>
      <c r="D59" s="436" t="s">
        <v>66</v>
      </c>
      <c r="E59" s="437" t="s">
        <v>39</v>
      </c>
      <c r="F59" s="437" t="s">
        <v>40</v>
      </c>
      <c r="G59" s="437" t="s">
        <v>67</v>
      </c>
      <c r="H59" s="382" t="s">
        <v>68</v>
      </c>
      <c r="I59" s="2"/>
      <c r="J59" s="483"/>
      <c r="L59" s="650"/>
    </row>
    <row r="60" spans="1:12" s="573" customFormat="1" ht="26.25" customHeight="1" x14ac:dyDescent="0.45">
      <c r="A60" s="380" t="s">
        <v>69</v>
      </c>
      <c r="B60" s="381">
        <v>5</v>
      </c>
      <c r="C60" s="775" t="s">
        <v>70</v>
      </c>
      <c r="D60" s="778">
        <v>1889.27</v>
      </c>
      <c r="E60" s="438">
        <v>1</v>
      </c>
      <c r="F60" s="439">
        <v>16787865</v>
      </c>
      <c r="G60" s="523">
        <f>IF(ISBLANK(F60),"-",(F60/$D$50*$D$47*$B$68)*($B$57/$D$60))</f>
        <v>300.36073444002312</v>
      </c>
      <c r="H60" s="440">
        <f t="shared" ref="H60:H71" si="0">IF(ISBLANK(F60),"-",G60/$B$56)</f>
        <v>1.0012024481334103</v>
      </c>
      <c r="I60" s="2"/>
      <c r="J60" s="483"/>
      <c r="L60" s="650"/>
    </row>
    <row r="61" spans="1:12" s="573" customFormat="1" ht="26.25" customHeight="1" x14ac:dyDescent="0.45">
      <c r="A61" s="380" t="s">
        <v>71</v>
      </c>
      <c r="B61" s="381">
        <v>50</v>
      </c>
      <c r="C61" s="776"/>
      <c r="D61" s="779"/>
      <c r="E61" s="441">
        <v>2</v>
      </c>
      <c r="F61" s="393">
        <v>16867278</v>
      </c>
      <c r="G61" s="524">
        <f>IF(ISBLANK(F61),"-",(F61/$D$50*$D$47*$B$68)*($B$57/$D$60))</f>
        <v>301.78155519382869</v>
      </c>
      <c r="H61" s="442">
        <f t="shared" si="0"/>
        <v>1.0059385173127624</v>
      </c>
      <c r="I61" s="2"/>
      <c r="J61" s="483"/>
      <c r="L61" s="650"/>
    </row>
    <row r="62" spans="1:12" s="573" customFormat="1" ht="26.25" customHeight="1" x14ac:dyDescent="0.45">
      <c r="A62" s="380" t="s">
        <v>72</v>
      </c>
      <c r="B62" s="381">
        <v>10</v>
      </c>
      <c r="C62" s="776"/>
      <c r="D62" s="779"/>
      <c r="E62" s="441">
        <v>3</v>
      </c>
      <c r="F62" s="443">
        <v>16791732</v>
      </c>
      <c r="G62" s="524">
        <f>IF(ISBLANK(F62),"-",(F62/$D$50*$D$47*$B$68)*($B$57/$D$60))</f>
        <v>300.42992101973886</v>
      </c>
      <c r="H62" s="442">
        <f t="shared" si="0"/>
        <v>1.0014330700657963</v>
      </c>
      <c r="I62" s="2"/>
      <c r="J62" s="483"/>
      <c r="L62" s="650"/>
    </row>
    <row r="63" spans="1:12" ht="27" customHeight="1" x14ac:dyDescent="0.45">
      <c r="A63" s="380" t="s">
        <v>73</v>
      </c>
      <c r="B63" s="381">
        <v>25</v>
      </c>
      <c r="C63" s="777"/>
      <c r="D63" s="780"/>
      <c r="E63" s="444">
        <v>4</v>
      </c>
      <c r="F63" s="445"/>
      <c r="G63" s="524" t="str">
        <f>IF(ISBLANK(F63),"-",(F63/$D$50*$D$47*$B$68)*($B$57/$D$60))</f>
        <v>-</v>
      </c>
      <c r="H63" s="442" t="str">
        <f t="shared" si="0"/>
        <v>-</v>
      </c>
    </row>
    <row r="64" spans="1:12" ht="26.25" customHeight="1" x14ac:dyDescent="0.45">
      <c r="A64" s="380" t="s">
        <v>74</v>
      </c>
      <c r="B64" s="381">
        <v>1</v>
      </c>
      <c r="C64" s="775" t="s">
        <v>75</v>
      </c>
      <c r="D64" s="778">
        <v>1893.41</v>
      </c>
      <c r="E64" s="438">
        <v>1</v>
      </c>
      <c r="F64" s="439">
        <v>16574959</v>
      </c>
      <c r="G64" s="525">
        <f>IF(ISBLANK(F64),"-",(F64/$D$50*$D$47*$B$68)*($B$57/$D$64))</f>
        <v>295.90309938413577</v>
      </c>
      <c r="H64" s="446">
        <f t="shared" si="0"/>
        <v>0.98634366461378586</v>
      </c>
    </row>
    <row r="65" spans="1:11" ht="26.25" customHeight="1" x14ac:dyDescent="0.45">
      <c r="A65" s="380" t="s">
        <v>76</v>
      </c>
      <c r="B65" s="381">
        <v>1</v>
      </c>
      <c r="C65" s="776"/>
      <c r="D65" s="779"/>
      <c r="E65" s="441">
        <v>2</v>
      </c>
      <c r="F65" s="393">
        <v>16629478</v>
      </c>
      <c r="G65" s="526">
        <f>IF(ISBLANK(F65),"-",(F65/$D$50*$D$47*$B$68)*($B$57/$D$64))</f>
        <v>296.87639537089046</v>
      </c>
      <c r="H65" s="447">
        <f t="shared" si="0"/>
        <v>0.98958798456963493</v>
      </c>
    </row>
    <row r="66" spans="1:11" ht="26.25" customHeight="1" x14ac:dyDescent="0.45">
      <c r="A66" s="380" t="s">
        <v>77</v>
      </c>
      <c r="B66" s="381">
        <v>1</v>
      </c>
      <c r="C66" s="776"/>
      <c r="D66" s="779"/>
      <c r="E66" s="441">
        <v>3</v>
      </c>
      <c r="F66" s="393">
        <v>16716138</v>
      </c>
      <c r="G66" s="526">
        <f>IF(ISBLANK(F66),"-",(F66/$D$50*$D$47*$B$68)*($B$57/$D$64))</f>
        <v>298.42348593036814</v>
      </c>
      <c r="H66" s="447">
        <f t="shared" si="0"/>
        <v>0.99474495310122713</v>
      </c>
    </row>
    <row r="67" spans="1:11" ht="27" customHeight="1" x14ac:dyDescent="0.45">
      <c r="A67" s="380" t="s">
        <v>78</v>
      </c>
      <c r="B67" s="381">
        <v>1</v>
      </c>
      <c r="C67" s="777"/>
      <c r="D67" s="780"/>
      <c r="E67" s="444">
        <v>4</v>
      </c>
      <c r="F67" s="445"/>
      <c r="G67" s="527" t="str">
        <f>IF(ISBLANK(F67),"-",(F67/$D$50*$D$47*$B$68)*($B$57/$D$64))</f>
        <v>-</v>
      </c>
      <c r="H67" s="448" t="str">
        <f t="shared" si="0"/>
        <v>-</v>
      </c>
    </row>
    <row r="68" spans="1:11" ht="26.25" customHeight="1" x14ac:dyDescent="0.5">
      <c r="A68" s="380" t="s">
        <v>79</v>
      </c>
      <c r="B68" s="449">
        <f>(B67/B66)*(B65/B64)*(B63/B62)*(B61/B60)*B59</f>
        <v>5000</v>
      </c>
      <c r="C68" s="775" t="s">
        <v>80</v>
      </c>
      <c r="D68" s="778">
        <v>1890.6</v>
      </c>
      <c r="E68" s="438">
        <v>1</v>
      </c>
      <c r="F68" s="439">
        <v>16177682</v>
      </c>
      <c r="G68" s="525">
        <f>IF(ISBLANK(F68),"-",(F68/$D$50*$D$47*$B$68)*($B$57/$D$68))</f>
        <v>289.24000384238821</v>
      </c>
      <c r="H68" s="442">
        <f t="shared" si="0"/>
        <v>0.96413334614129398</v>
      </c>
    </row>
    <row r="69" spans="1:11" ht="27" customHeight="1" x14ac:dyDescent="0.5">
      <c r="A69" s="428" t="s">
        <v>81</v>
      </c>
      <c r="B69" s="450">
        <f>(D47*B68)/B56*B57</f>
        <v>1891.6979999999999</v>
      </c>
      <c r="C69" s="776"/>
      <c r="D69" s="779"/>
      <c r="E69" s="441">
        <v>2</v>
      </c>
      <c r="F69" s="393">
        <v>16166560</v>
      </c>
      <c r="G69" s="526">
        <f>IF(ISBLANK(F69),"-",(F69/$D$50*$D$47*$B$68)*($B$57/$D$68))</f>
        <v>289.04115413556769</v>
      </c>
      <c r="H69" s="442">
        <f t="shared" si="0"/>
        <v>0.96347051378522564</v>
      </c>
    </row>
    <row r="70" spans="1:11" ht="26.25" customHeight="1" x14ac:dyDescent="0.45">
      <c r="A70" s="789" t="s">
        <v>55</v>
      </c>
      <c r="B70" s="790"/>
      <c r="C70" s="776"/>
      <c r="D70" s="779"/>
      <c r="E70" s="441">
        <v>3</v>
      </c>
      <c r="F70" s="393">
        <v>16248069</v>
      </c>
      <c r="G70" s="526">
        <f>IF(ISBLANK(F70),"-",(F70/$D$50*$D$47*$B$68)*($B$57/$D$68))</f>
        <v>290.4984496537507</v>
      </c>
      <c r="H70" s="442">
        <f t="shared" si="0"/>
        <v>0.96832816551250234</v>
      </c>
    </row>
    <row r="71" spans="1:11" ht="27" customHeight="1" x14ac:dyDescent="0.45">
      <c r="A71" s="791"/>
      <c r="B71" s="792"/>
      <c r="C71" s="788"/>
      <c r="D71" s="780"/>
      <c r="E71" s="444">
        <v>4</v>
      </c>
      <c r="F71" s="445"/>
      <c r="G71" s="527" t="str">
        <f>IF(ISBLANK(F71),"-",(F71/$D$50*$D$47*$B$68)*($B$57/$D$68))</f>
        <v>-</v>
      </c>
      <c r="H71" s="451" t="str">
        <f t="shared" si="0"/>
        <v>-</v>
      </c>
    </row>
    <row r="72" spans="1:11" ht="26.25" customHeight="1" x14ac:dyDescent="0.45">
      <c r="A72" s="452"/>
      <c r="B72" s="452"/>
      <c r="C72" s="452"/>
      <c r="D72" s="452"/>
      <c r="E72" s="452"/>
      <c r="F72" s="454" t="s">
        <v>48</v>
      </c>
      <c r="G72" s="532">
        <f>AVERAGE(G60:G71)</f>
        <v>295.83942210785466</v>
      </c>
      <c r="H72" s="455">
        <f>AVERAGE(H60:H71)</f>
        <v>0.98613140702618218</v>
      </c>
    </row>
    <row r="73" spans="1:11" ht="26.25" customHeight="1" x14ac:dyDescent="0.45">
      <c r="C73" s="452"/>
      <c r="D73" s="452"/>
      <c r="E73" s="452"/>
      <c r="F73" s="456" t="s">
        <v>61</v>
      </c>
      <c r="G73" s="528">
        <f>STDEV(G60:G71)/G72</f>
        <v>1.7022120341863688E-2</v>
      </c>
      <c r="H73" s="455">
        <f>STDEV(H60:H71)/H72</f>
        <v>1.7022120341863706E-2</v>
      </c>
    </row>
    <row r="74" spans="1:11" ht="27" customHeight="1" x14ac:dyDescent="0.45">
      <c r="A74" s="452"/>
      <c r="B74" s="452"/>
      <c r="C74" s="453"/>
      <c r="D74" s="453"/>
      <c r="E74" s="457"/>
      <c r="F74" s="458" t="s">
        <v>3</v>
      </c>
      <c r="G74" s="459">
        <f>COUNT(G60:G71)</f>
        <v>9</v>
      </c>
      <c r="H74" s="459">
        <f>COUNT(H60:H71)</f>
        <v>9</v>
      </c>
    </row>
    <row r="76" spans="1:11" ht="26.25" customHeight="1" x14ac:dyDescent="0.45">
      <c r="A76" s="366" t="s">
        <v>82</v>
      </c>
      <c r="B76" s="460" t="s">
        <v>83</v>
      </c>
      <c r="C76" s="793" t="str">
        <f>B26</f>
        <v>LAMIVUDINE</v>
      </c>
      <c r="D76" s="793"/>
      <c r="E76" s="461" t="s">
        <v>84</v>
      </c>
      <c r="F76" s="461"/>
      <c r="G76" s="462">
        <f>H72</f>
        <v>0.98613140702618218</v>
      </c>
      <c r="H76" s="463"/>
    </row>
    <row r="77" spans="1:11" ht="26.25" customHeight="1" x14ac:dyDescent="0.45">
      <c r="A77" s="516"/>
      <c r="B77" s="472"/>
      <c r="C77" s="701"/>
      <c r="D77" s="701"/>
      <c r="E77" s="461"/>
      <c r="F77" s="461"/>
      <c r="G77" s="462"/>
      <c r="H77" s="701"/>
      <c r="I77" s="483"/>
      <c r="J77" s="483"/>
      <c r="K77" s="483"/>
    </row>
    <row r="78" spans="1:11" ht="18" x14ac:dyDescent="0.35">
      <c r="A78" s="365" t="s">
        <v>85</v>
      </c>
      <c r="B78" s="365" t="s">
        <v>86</v>
      </c>
    </row>
    <row r="79" spans="1:11" ht="18" x14ac:dyDescent="0.35">
      <c r="A79" s="365"/>
      <c r="B79" s="365"/>
    </row>
    <row r="80" spans="1:11" ht="26.25" customHeight="1" x14ac:dyDescent="0.45">
      <c r="A80" s="366" t="s">
        <v>1</v>
      </c>
      <c r="B80" s="464" t="str">
        <f>B26</f>
        <v>LAMIVUDINE</v>
      </c>
      <c r="C80" s="483"/>
    </row>
    <row r="81" spans="1:12" ht="26.25" customHeight="1" x14ac:dyDescent="0.45">
      <c r="A81" s="367" t="s">
        <v>25</v>
      </c>
      <c r="B81" s="464" t="str">
        <f>B27</f>
        <v>L3-9</v>
      </c>
      <c r="C81" s="483"/>
    </row>
    <row r="82" spans="1:12" ht="27" customHeight="1" x14ac:dyDescent="0.45">
      <c r="A82" s="367" t="s">
        <v>2</v>
      </c>
      <c r="B82" s="464">
        <f>B28</f>
        <v>101.74</v>
      </c>
    </row>
    <row r="83" spans="1:12" s="573" customFormat="1" ht="27" customHeight="1" x14ac:dyDescent="0.5">
      <c r="A83" s="367" t="s">
        <v>26</v>
      </c>
      <c r="B83" s="369">
        <v>0</v>
      </c>
      <c r="C83" s="769" t="s">
        <v>27</v>
      </c>
      <c r="D83" s="770"/>
      <c r="E83" s="770"/>
      <c r="F83" s="770"/>
      <c r="G83" s="771"/>
      <c r="H83" s="2"/>
      <c r="I83" s="370"/>
      <c r="J83" s="370"/>
      <c r="K83" s="370"/>
      <c r="L83" s="650"/>
    </row>
    <row r="84" spans="1:12" s="573" customFormat="1" ht="19.5" customHeight="1" x14ac:dyDescent="0.35">
      <c r="A84" s="367" t="s">
        <v>28</v>
      </c>
      <c r="B84" s="371">
        <f>B82-B83</f>
        <v>101.74</v>
      </c>
      <c r="C84" s="372"/>
      <c r="D84" s="372"/>
      <c r="E84" s="372"/>
      <c r="F84" s="372"/>
      <c r="G84" s="373"/>
      <c r="H84" s="2"/>
      <c r="I84" s="370"/>
      <c r="J84" s="370"/>
      <c r="K84" s="370"/>
      <c r="L84" s="650"/>
    </row>
    <row r="85" spans="1:12" s="573" customFormat="1" ht="27" customHeight="1" x14ac:dyDescent="0.45">
      <c r="A85" s="367" t="s">
        <v>29</v>
      </c>
      <c r="B85" s="374">
        <v>1</v>
      </c>
      <c r="C85" s="772" t="s">
        <v>87</v>
      </c>
      <c r="D85" s="773"/>
      <c r="E85" s="773"/>
      <c r="F85" s="773"/>
      <c r="G85" s="773"/>
      <c r="H85" s="774"/>
      <c r="I85" s="370"/>
      <c r="J85" s="370"/>
      <c r="K85" s="370"/>
      <c r="L85" s="650"/>
    </row>
    <row r="86" spans="1:12" s="573" customFormat="1" ht="27" customHeight="1" x14ac:dyDescent="0.45">
      <c r="A86" s="367" t="s">
        <v>31</v>
      </c>
      <c r="B86" s="374">
        <v>1</v>
      </c>
      <c r="C86" s="772" t="s">
        <v>88</v>
      </c>
      <c r="D86" s="773"/>
      <c r="E86" s="773"/>
      <c r="F86" s="773"/>
      <c r="G86" s="773"/>
      <c r="H86" s="774"/>
      <c r="I86" s="370"/>
      <c r="J86" s="370"/>
      <c r="K86" s="370"/>
      <c r="L86" s="650"/>
    </row>
    <row r="87" spans="1:12" s="573" customFormat="1" ht="18" x14ac:dyDescent="0.35">
      <c r="A87" s="367"/>
      <c r="B87" s="375"/>
      <c r="C87" s="376"/>
      <c r="D87" s="376"/>
      <c r="E87" s="376"/>
      <c r="F87" s="376"/>
      <c r="G87" s="376"/>
      <c r="H87" s="376"/>
      <c r="I87" s="370"/>
      <c r="J87" s="370"/>
      <c r="K87" s="370"/>
      <c r="L87" s="650"/>
    </row>
    <row r="88" spans="1:12" s="573" customFormat="1" ht="18" x14ac:dyDescent="0.35">
      <c r="A88" s="367" t="s">
        <v>33</v>
      </c>
      <c r="B88" s="377">
        <f>B85/B86</f>
        <v>1</v>
      </c>
      <c r="C88" s="357" t="s">
        <v>34</v>
      </c>
      <c r="D88" s="357"/>
      <c r="E88" s="357"/>
      <c r="F88" s="357"/>
      <c r="G88" s="357"/>
      <c r="H88" s="483"/>
      <c r="I88" s="370"/>
      <c r="J88" s="370"/>
      <c r="K88" s="370"/>
      <c r="L88" s="650"/>
    </row>
    <row r="89" spans="1:12" ht="19.5" customHeight="1" x14ac:dyDescent="0.35">
      <c r="A89" s="365"/>
      <c r="B89" s="365"/>
    </row>
    <row r="90" spans="1:12" ht="27" customHeight="1" x14ac:dyDescent="0.45">
      <c r="A90" s="378" t="s">
        <v>35</v>
      </c>
      <c r="B90" s="379">
        <v>25</v>
      </c>
      <c r="D90" s="465" t="s">
        <v>36</v>
      </c>
      <c r="E90" s="466"/>
      <c r="F90" s="794" t="s">
        <v>37</v>
      </c>
      <c r="G90" s="796"/>
    </row>
    <row r="91" spans="1:12" ht="27" customHeight="1" x14ac:dyDescent="0.45">
      <c r="A91" s="380" t="s">
        <v>38</v>
      </c>
      <c r="B91" s="381">
        <v>10</v>
      </c>
      <c r="C91" s="467" t="s">
        <v>39</v>
      </c>
      <c r="D91" s="383" t="s">
        <v>40</v>
      </c>
      <c r="E91" s="384" t="s">
        <v>41</v>
      </c>
      <c r="F91" s="383" t="s">
        <v>40</v>
      </c>
      <c r="G91" s="468" t="s">
        <v>41</v>
      </c>
      <c r="I91" s="386" t="s">
        <v>42</v>
      </c>
    </row>
    <row r="92" spans="1:12" ht="26.25" customHeight="1" x14ac:dyDescent="0.45">
      <c r="A92" s="380" t="s">
        <v>43</v>
      </c>
      <c r="B92" s="381">
        <v>20</v>
      </c>
      <c r="C92" s="469">
        <v>1</v>
      </c>
      <c r="D92" s="388">
        <v>108259694</v>
      </c>
      <c r="E92" s="389">
        <f>IF(ISBLANK(D92),"-",$D$102/$D$99*D92)</f>
        <v>82316806.190135896</v>
      </c>
      <c r="F92" s="388">
        <v>95515389</v>
      </c>
      <c r="G92" s="390">
        <f>IF(ISBLANK(F92),"-",$D$102/$F$99*F92)</f>
        <v>83179425.486203387</v>
      </c>
      <c r="I92" s="391"/>
    </row>
    <row r="93" spans="1:12" ht="26.25" customHeight="1" x14ac:dyDescent="0.45">
      <c r="A93" s="380" t="s">
        <v>44</v>
      </c>
      <c r="B93" s="381">
        <v>1</v>
      </c>
      <c r="C93" s="453">
        <v>2</v>
      </c>
      <c r="D93" s="393">
        <v>108804653</v>
      </c>
      <c r="E93" s="394">
        <f>IF(ISBLANK(D93),"-",$D$102/$D$99*D93)</f>
        <v>82731173.557408974</v>
      </c>
      <c r="F93" s="393">
        <v>93477754</v>
      </c>
      <c r="G93" s="395">
        <f>IF(ISBLANK(F93),"-",$D$102/$F$99*F93)</f>
        <v>81404954.268266141</v>
      </c>
      <c r="I93" s="787">
        <f>ABS((F97/D97*D96)-F96)/D96</f>
        <v>2.4696846877093931E-3</v>
      </c>
    </row>
    <row r="94" spans="1:12" ht="26.25" customHeight="1" x14ac:dyDescent="0.45">
      <c r="A94" s="380" t="s">
        <v>45</v>
      </c>
      <c r="B94" s="381">
        <v>1</v>
      </c>
      <c r="C94" s="453">
        <v>3</v>
      </c>
      <c r="D94" s="393">
        <v>108622756</v>
      </c>
      <c r="E94" s="394">
        <f>IF(ISBLANK(D94),"-",$D$102/$D$99*D94)</f>
        <v>82592865.572762668</v>
      </c>
      <c r="F94" s="393">
        <v>94569849</v>
      </c>
      <c r="G94" s="395">
        <f>IF(ISBLANK(F94),"-",$D$102/$F$99*F94)</f>
        <v>82356003.472246826</v>
      </c>
      <c r="I94" s="787"/>
    </row>
    <row r="95" spans="1:12" ht="27" customHeight="1" x14ac:dyDescent="0.45">
      <c r="A95" s="380" t="s">
        <v>46</v>
      </c>
      <c r="B95" s="381">
        <v>1</v>
      </c>
      <c r="C95" s="470">
        <v>4</v>
      </c>
      <c r="D95" s="398"/>
      <c r="E95" s="399" t="str">
        <f>IF(ISBLANK(D95),"-",$D$102/$D$99*D95)</f>
        <v>-</v>
      </c>
      <c r="F95" s="471"/>
      <c r="G95" s="400" t="str">
        <f>IF(ISBLANK(F95),"-",$D$102/$F$99*F95)</f>
        <v>-</v>
      </c>
      <c r="I95" s="401"/>
    </row>
    <row r="96" spans="1:12" ht="27" customHeight="1" x14ac:dyDescent="0.45">
      <c r="A96" s="380" t="s">
        <v>47</v>
      </c>
      <c r="B96" s="381">
        <v>1</v>
      </c>
      <c r="C96" s="472" t="s">
        <v>48</v>
      </c>
      <c r="D96" s="473">
        <f>AVERAGE(D92:D95)</f>
        <v>108562367.66666667</v>
      </c>
      <c r="E96" s="404">
        <f>AVERAGE(E92:E95)</f>
        <v>82546948.440102518</v>
      </c>
      <c r="F96" s="474">
        <f>AVERAGE(F92:F95)</f>
        <v>94520997.333333328</v>
      </c>
      <c r="G96" s="475">
        <f>AVERAGE(G92:G95)</f>
        <v>82313461.075572118</v>
      </c>
    </row>
    <row r="97" spans="1:10" ht="26.25" customHeight="1" x14ac:dyDescent="0.45">
      <c r="A97" s="380" t="s">
        <v>49</v>
      </c>
      <c r="B97" s="368">
        <v>1</v>
      </c>
      <c r="C97" s="476" t="s">
        <v>89</v>
      </c>
      <c r="D97" s="477">
        <v>19.39</v>
      </c>
      <c r="E97" s="396"/>
      <c r="F97" s="408">
        <v>16.93</v>
      </c>
    </row>
    <row r="98" spans="1:10" ht="26.25" customHeight="1" x14ac:dyDescent="0.45">
      <c r="A98" s="380" t="s">
        <v>51</v>
      </c>
      <c r="B98" s="368">
        <v>1</v>
      </c>
      <c r="C98" s="478" t="s">
        <v>90</v>
      </c>
      <c r="D98" s="479">
        <f>D97*$B$88</f>
        <v>19.39</v>
      </c>
      <c r="E98" s="411"/>
      <c r="F98" s="410">
        <f>F97*$B$88</f>
        <v>16.93</v>
      </c>
    </row>
    <row r="99" spans="1:10" ht="19.5" customHeight="1" x14ac:dyDescent="0.35">
      <c r="A99" s="380" t="s">
        <v>53</v>
      </c>
      <c r="B99" s="480">
        <f>(B98/B97)*(B96/B95)*(B94/B93)*(B92/B91)*B90</f>
        <v>50</v>
      </c>
      <c r="C99" s="478" t="s">
        <v>91</v>
      </c>
      <c r="D99" s="481">
        <f>D98*$B$84/100</f>
        <v>19.727385999999999</v>
      </c>
      <c r="E99" s="414"/>
      <c r="F99" s="413">
        <f>F98*$B$84/100</f>
        <v>17.224581999999998</v>
      </c>
    </row>
    <row r="100" spans="1:10" ht="19.5" customHeight="1" x14ac:dyDescent="0.35">
      <c r="A100" s="783" t="s">
        <v>55</v>
      </c>
      <c r="B100" s="798"/>
      <c r="C100" s="478" t="s">
        <v>92</v>
      </c>
      <c r="D100" s="482">
        <f>D99/$B$99</f>
        <v>0.39454771999999999</v>
      </c>
      <c r="E100" s="414"/>
      <c r="F100" s="417">
        <f>F99/$B$99</f>
        <v>0.34449163999999999</v>
      </c>
      <c r="G100" s="483"/>
      <c r="H100" s="406"/>
    </row>
    <row r="101" spans="1:10" ht="19.5" customHeight="1" x14ac:dyDescent="0.35">
      <c r="A101" s="785"/>
      <c r="B101" s="799"/>
      <c r="C101" s="478" t="s">
        <v>57</v>
      </c>
      <c r="D101" s="484">
        <f>$B$56/$B$117</f>
        <v>0.3</v>
      </c>
      <c r="F101" s="422"/>
      <c r="G101" s="485"/>
      <c r="H101" s="406"/>
    </row>
    <row r="102" spans="1:10" ht="18" x14ac:dyDescent="0.35">
      <c r="C102" s="478" t="s">
        <v>58</v>
      </c>
      <c r="D102" s="479">
        <f>D101*$B$99</f>
        <v>15</v>
      </c>
      <c r="F102" s="422"/>
      <c r="G102" s="483"/>
      <c r="H102" s="406"/>
    </row>
    <row r="103" spans="1:10" ht="19.5" customHeight="1" x14ac:dyDescent="0.35">
      <c r="C103" s="486" t="s">
        <v>59</v>
      </c>
      <c r="D103" s="487">
        <f>D102/B34</f>
        <v>15</v>
      </c>
      <c r="F103" s="426"/>
      <c r="G103" s="483"/>
      <c r="H103" s="406"/>
      <c r="J103" s="488"/>
    </row>
    <row r="104" spans="1:10" ht="18" x14ac:dyDescent="0.35">
      <c r="C104" s="489" t="s">
        <v>93</v>
      </c>
      <c r="D104" s="490">
        <f>AVERAGE(E92:E95,G92:G95)</f>
        <v>82430204.75783731</v>
      </c>
      <c r="F104" s="426"/>
      <c r="G104" s="491"/>
      <c r="H104" s="406"/>
      <c r="J104" s="492"/>
    </row>
    <row r="105" spans="1:10" ht="18" x14ac:dyDescent="0.35">
      <c r="C105" s="456" t="s">
        <v>61</v>
      </c>
      <c r="D105" s="493">
        <f>STDEV(E92:E95,G92:G95)/D104</f>
        <v>7.1727210302582976E-3</v>
      </c>
      <c r="F105" s="426"/>
      <c r="G105" s="483"/>
      <c r="H105" s="406"/>
      <c r="J105" s="492"/>
    </row>
    <row r="106" spans="1:10" ht="19.5" customHeight="1" x14ac:dyDescent="0.35">
      <c r="C106" s="458" t="s">
        <v>3</v>
      </c>
      <c r="D106" s="494">
        <f>COUNT(E92:E95,G92:G95)</f>
        <v>6</v>
      </c>
      <c r="F106" s="426"/>
      <c r="G106" s="483"/>
      <c r="H106" s="406"/>
      <c r="J106" s="492"/>
    </row>
    <row r="107" spans="1:10" ht="19.5" customHeight="1" x14ac:dyDescent="0.35">
      <c r="A107" s="430"/>
      <c r="B107" s="430"/>
      <c r="C107" s="430"/>
      <c r="D107" s="430"/>
      <c r="E107" s="430"/>
    </row>
    <row r="108" spans="1:10" ht="26.25" customHeight="1" x14ac:dyDescent="0.45">
      <c r="A108" s="378" t="s">
        <v>94</v>
      </c>
      <c r="B108" s="379">
        <v>1000</v>
      </c>
      <c r="C108" s="495" t="s">
        <v>121</v>
      </c>
      <c r="D108" s="496" t="s">
        <v>40</v>
      </c>
      <c r="E108" s="497" t="s">
        <v>95</v>
      </c>
      <c r="F108" s="498" t="s">
        <v>96</v>
      </c>
      <c r="H108" s="652"/>
    </row>
    <row r="109" spans="1:10" ht="26.25" customHeight="1" x14ac:dyDescent="0.45">
      <c r="A109" s="380" t="s">
        <v>97</v>
      </c>
      <c r="B109" s="381">
        <v>1</v>
      </c>
      <c r="C109" s="499">
        <v>1</v>
      </c>
      <c r="D109" s="500">
        <v>62796790</v>
      </c>
      <c r="E109" s="529">
        <f t="shared" ref="E109:E114" si="1">IF(ISBLANK(D109),"-",D109/$D$104*$D$101*$B$117)</f>
        <v>228.54531364255547</v>
      </c>
      <c r="F109" s="501">
        <f t="shared" ref="F109:F114" si="2">IF(ISBLANK(D109), "-", E109/$B$56)</f>
        <v>0.76181771214185157</v>
      </c>
    </row>
    <row r="110" spans="1:10" ht="26.25" customHeight="1" x14ac:dyDescent="0.45">
      <c r="A110" s="380" t="s">
        <v>71</v>
      </c>
      <c r="B110" s="381">
        <v>1</v>
      </c>
      <c r="C110" s="499">
        <v>2</v>
      </c>
      <c r="D110" s="500">
        <v>86564352</v>
      </c>
      <c r="E110" s="530">
        <f t="shared" si="1"/>
        <v>315.04599165187545</v>
      </c>
      <c r="F110" s="502">
        <f t="shared" si="2"/>
        <v>1.0501533055062515</v>
      </c>
    </row>
    <row r="111" spans="1:10" ht="26.25" customHeight="1" x14ac:dyDescent="0.45">
      <c r="A111" s="380" t="s">
        <v>72</v>
      </c>
      <c r="B111" s="381">
        <v>1</v>
      </c>
      <c r="C111" s="499">
        <v>3</v>
      </c>
      <c r="D111" s="500">
        <v>75412422</v>
      </c>
      <c r="E111" s="530">
        <f t="shared" si="1"/>
        <v>274.45918236481123</v>
      </c>
      <c r="F111" s="502">
        <f t="shared" si="2"/>
        <v>0.91486394121603742</v>
      </c>
    </row>
    <row r="112" spans="1:10" ht="26.25" customHeight="1" x14ac:dyDescent="0.45">
      <c r="A112" s="380" t="s">
        <v>73</v>
      </c>
      <c r="B112" s="381">
        <v>1</v>
      </c>
      <c r="C112" s="499">
        <v>4</v>
      </c>
      <c r="D112" s="500">
        <v>82513174</v>
      </c>
      <c r="E112" s="530">
        <f t="shared" si="1"/>
        <v>300.30196179570254</v>
      </c>
      <c r="F112" s="502">
        <f t="shared" si="2"/>
        <v>1.0010065393190084</v>
      </c>
    </row>
    <row r="113" spans="1:11" ht="26.25" customHeight="1" x14ac:dyDescent="0.45">
      <c r="A113" s="380" t="s">
        <v>74</v>
      </c>
      <c r="B113" s="381">
        <v>1</v>
      </c>
      <c r="C113" s="499">
        <v>5</v>
      </c>
      <c r="D113" s="500">
        <v>80658055</v>
      </c>
      <c r="E113" s="530">
        <f t="shared" si="1"/>
        <v>293.55036265028025</v>
      </c>
      <c r="F113" s="502">
        <f t="shared" si="2"/>
        <v>0.9785012088342675</v>
      </c>
    </row>
    <row r="114" spans="1:11" ht="26.25" customHeight="1" x14ac:dyDescent="0.45">
      <c r="A114" s="380" t="s">
        <v>76</v>
      </c>
      <c r="B114" s="381">
        <v>1</v>
      </c>
      <c r="C114" s="503">
        <v>6</v>
      </c>
      <c r="D114" s="504">
        <v>77027752</v>
      </c>
      <c r="E114" s="531">
        <f t="shared" si="1"/>
        <v>280.33808320490556</v>
      </c>
      <c r="F114" s="505">
        <f t="shared" si="2"/>
        <v>0.93446027734968518</v>
      </c>
    </row>
    <row r="115" spans="1:11" ht="26.25" customHeight="1" x14ac:dyDescent="0.45">
      <c r="A115" s="380" t="s">
        <v>77</v>
      </c>
      <c r="B115" s="381">
        <v>1</v>
      </c>
      <c r="C115" s="499"/>
      <c r="D115" s="453"/>
      <c r="E115" s="356"/>
      <c r="F115" s="506"/>
    </row>
    <row r="116" spans="1:11" ht="26.25" customHeight="1" x14ac:dyDescent="0.45">
      <c r="A116" s="380" t="s">
        <v>78</v>
      </c>
      <c r="B116" s="381">
        <v>1</v>
      </c>
      <c r="C116" s="499"/>
      <c r="D116" s="693" t="s">
        <v>48</v>
      </c>
      <c r="E116" s="533">
        <f>AVERAGE(E109:E114)</f>
        <v>282.04014921835511</v>
      </c>
      <c r="F116" s="508">
        <f>AVERAGE(F109:F114)</f>
        <v>0.94013383072785028</v>
      </c>
    </row>
    <row r="117" spans="1:11" ht="27" customHeight="1" x14ac:dyDescent="0.45">
      <c r="A117" s="380" t="s">
        <v>79</v>
      </c>
      <c r="B117" s="412">
        <f>(B116/B115)*(B114/B113)*(B112/B111)*(B110/B109)*B108</f>
        <v>1000</v>
      </c>
      <c r="C117" s="509"/>
      <c r="D117" s="694" t="s">
        <v>61</v>
      </c>
      <c r="E117" s="510">
        <f>STDEV(E109:E114)/E116</f>
        <v>0.10610075220810697</v>
      </c>
      <c r="F117" s="510">
        <f>STDEV(F109:F114)/F116</f>
        <v>0.10610075220810698</v>
      </c>
      <c r="I117" s="356"/>
    </row>
    <row r="118" spans="1:11" ht="27" customHeight="1" x14ac:dyDescent="0.45">
      <c r="A118" s="783" t="s">
        <v>55</v>
      </c>
      <c r="B118" s="784"/>
      <c r="C118" s="511"/>
      <c r="D118" s="692" t="s">
        <v>3</v>
      </c>
      <c r="E118" s="512">
        <f>COUNT(E109:E114)</f>
        <v>6</v>
      </c>
      <c r="F118" s="512">
        <f>COUNT(F109:F114)</f>
        <v>6</v>
      </c>
      <c r="I118" s="356"/>
      <c r="J118" s="492"/>
    </row>
    <row r="119" spans="1:11" ht="19.5" customHeight="1" x14ac:dyDescent="0.35">
      <c r="A119" s="785"/>
      <c r="B119" s="786"/>
      <c r="C119" s="356"/>
      <c r="D119" s="356"/>
      <c r="E119" s="356"/>
      <c r="F119" s="453"/>
      <c r="G119" s="356"/>
      <c r="H119" s="356"/>
      <c r="I119" s="356"/>
    </row>
    <row r="120" spans="1:11" ht="18" x14ac:dyDescent="0.35">
      <c r="A120" s="521"/>
      <c r="B120" s="376"/>
      <c r="C120" s="356"/>
      <c r="D120" s="356"/>
      <c r="E120" s="356"/>
      <c r="F120" s="453"/>
      <c r="G120" s="356"/>
      <c r="H120" s="356"/>
      <c r="I120" s="356"/>
    </row>
    <row r="121" spans="1:11" ht="26.25" customHeight="1" x14ac:dyDescent="0.45">
      <c r="A121" s="366" t="s">
        <v>82</v>
      </c>
      <c r="B121" s="460" t="s">
        <v>98</v>
      </c>
      <c r="C121" s="793" t="str">
        <f>B80</f>
        <v>LAMIVUDINE</v>
      </c>
      <c r="D121" s="793"/>
      <c r="E121" s="461" t="s">
        <v>99</v>
      </c>
      <c r="F121" s="461"/>
      <c r="G121" s="462">
        <f>F116</f>
        <v>0.94013383072785028</v>
      </c>
      <c r="H121" s="356"/>
      <c r="I121" s="356"/>
    </row>
    <row r="122" spans="1:11" ht="26.25" customHeight="1" x14ac:dyDescent="0.45">
      <c r="A122" s="516"/>
      <c r="B122" s="472"/>
      <c r="C122" s="701"/>
      <c r="D122" s="701"/>
      <c r="E122" s="461"/>
      <c r="F122" s="461"/>
      <c r="G122" s="462"/>
      <c r="H122" s="461"/>
      <c r="I122" s="461"/>
      <c r="J122" s="483"/>
      <c r="K122" s="483"/>
    </row>
    <row r="123" spans="1:11" ht="26.25" customHeight="1" x14ac:dyDescent="0.45">
      <c r="A123" s="365" t="s">
        <v>145</v>
      </c>
      <c r="B123" s="472"/>
      <c r="C123" s="701"/>
      <c r="D123" s="701"/>
      <c r="E123" s="461"/>
      <c r="F123" s="461"/>
      <c r="G123" s="462"/>
      <c r="H123" s="461"/>
      <c r="I123" s="461"/>
      <c r="J123" s="483"/>
      <c r="K123" s="483"/>
    </row>
    <row r="124" spans="1:11" ht="26.25" customHeight="1" thickBot="1" x14ac:dyDescent="0.5">
      <c r="A124" s="516"/>
      <c r="B124" s="472"/>
      <c r="C124" s="701"/>
      <c r="D124" s="701"/>
      <c r="E124" s="461"/>
      <c r="F124" s="461"/>
      <c r="G124" s="462"/>
      <c r="H124" s="461"/>
      <c r="I124" s="461"/>
      <c r="J124" s="483"/>
      <c r="K124" s="483"/>
    </row>
    <row r="125" spans="1:11" ht="26.25" customHeight="1" thickBot="1" x14ac:dyDescent="0.5">
      <c r="A125" s="378" t="s">
        <v>35</v>
      </c>
      <c r="B125" s="379">
        <v>25</v>
      </c>
      <c r="C125" s="483"/>
      <c r="D125" s="702" t="s">
        <v>36</v>
      </c>
      <c r="E125" s="703"/>
      <c r="F125" s="800" t="s">
        <v>37</v>
      </c>
      <c r="G125" s="801"/>
      <c r="H125" s="461"/>
      <c r="I125" s="461"/>
      <c r="J125" s="483"/>
      <c r="K125" s="483"/>
    </row>
    <row r="126" spans="1:11" ht="26.25" customHeight="1" x14ac:dyDescent="0.45">
      <c r="A126" s="380" t="s">
        <v>38</v>
      </c>
      <c r="B126" s="381">
        <v>10</v>
      </c>
      <c r="C126" s="704" t="s">
        <v>39</v>
      </c>
      <c r="D126" s="383" t="s">
        <v>40</v>
      </c>
      <c r="E126" s="384" t="s">
        <v>41</v>
      </c>
      <c r="F126" s="661" t="s">
        <v>40</v>
      </c>
      <c r="G126" s="724" t="s">
        <v>41</v>
      </c>
      <c r="H126" s="461"/>
      <c r="I126" s="461"/>
      <c r="J126" s="483"/>
      <c r="K126" s="483"/>
    </row>
    <row r="127" spans="1:11" ht="26.25" customHeight="1" x14ac:dyDescent="0.45">
      <c r="A127" s="380" t="s">
        <v>43</v>
      </c>
      <c r="B127" s="381">
        <v>20</v>
      </c>
      <c r="C127" s="469">
        <v>1</v>
      </c>
      <c r="D127" s="388">
        <v>79038280</v>
      </c>
      <c r="E127" s="721">
        <f>IF(ISBLANK(D127),"-",$D$137/$D$134*D127)</f>
        <v>80867315.37452355</v>
      </c>
      <c r="F127" s="663">
        <v>88072417</v>
      </c>
      <c r="G127" s="725">
        <f>IF(ISBLANK(F127),"-",$D$137/$F$134*F127)</f>
        <v>82759240.646780446</v>
      </c>
      <c r="H127" s="461"/>
      <c r="I127" s="461"/>
      <c r="J127" s="483"/>
      <c r="K127" s="483"/>
    </row>
    <row r="128" spans="1:11" ht="26.25" customHeight="1" x14ac:dyDescent="0.45">
      <c r="A128" s="380" t="s">
        <v>44</v>
      </c>
      <c r="B128" s="381">
        <v>1</v>
      </c>
      <c r="C128" s="480">
        <v>2</v>
      </c>
      <c r="D128" s="393">
        <v>78990282</v>
      </c>
      <c r="E128" s="722">
        <f t="shared" ref="E128:E130" si="3">IF(ISBLANK(D128),"-",$D$137/$D$134*D128)</f>
        <v>80818206.646406665</v>
      </c>
      <c r="F128" s="665">
        <v>87074685</v>
      </c>
      <c r="G128" s="726">
        <f t="shared" ref="G128:G130" si="4">IF(ISBLANK(F128),"-",$D$137/$F$134*F128)</f>
        <v>81821699.183725178</v>
      </c>
      <c r="H128" s="461"/>
      <c r="I128" s="461"/>
      <c r="J128" s="483"/>
      <c r="K128" s="483"/>
    </row>
    <row r="129" spans="1:11" ht="26.25" customHeight="1" x14ac:dyDescent="0.45">
      <c r="A129" s="380" t="s">
        <v>45</v>
      </c>
      <c r="B129" s="381">
        <v>1</v>
      </c>
      <c r="C129" s="480">
        <v>3</v>
      </c>
      <c r="D129" s="393">
        <v>80280538</v>
      </c>
      <c r="E129" s="722">
        <f t="shared" si="3"/>
        <v>82138320.632514045</v>
      </c>
      <c r="F129" s="665">
        <v>87671577</v>
      </c>
      <c r="G129" s="726">
        <f t="shared" si="4"/>
        <v>82382582.265520677</v>
      </c>
      <c r="H129" s="461"/>
      <c r="I129" s="461"/>
      <c r="J129" s="483"/>
      <c r="K129" s="483"/>
    </row>
    <row r="130" spans="1:11" ht="26.25" customHeight="1" x14ac:dyDescent="0.45">
      <c r="A130" s="380" t="s">
        <v>46</v>
      </c>
      <c r="B130" s="381">
        <v>1</v>
      </c>
      <c r="C130" s="470">
        <v>4</v>
      </c>
      <c r="D130" s="398"/>
      <c r="E130" s="723" t="str">
        <f t="shared" si="3"/>
        <v>-</v>
      </c>
      <c r="F130" s="727"/>
      <c r="G130" s="728" t="str">
        <f t="shared" si="4"/>
        <v>-</v>
      </c>
      <c r="H130" s="461"/>
      <c r="I130" s="461"/>
      <c r="J130" s="483"/>
      <c r="K130" s="483"/>
    </row>
    <row r="131" spans="1:11" ht="26.25" customHeight="1" thickBot="1" x14ac:dyDescent="0.5">
      <c r="A131" s="380" t="s">
        <v>47</v>
      </c>
      <c r="B131" s="381">
        <v>1</v>
      </c>
      <c r="C131" s="472" t="s">
        <v>48</v>
      </c>
      <c r="D131" s="473">
        <f>AVERAGE(D127:D130)</f>
        <v>79436366.666666672</v>
      </c>
      <c r="E131" s="404">
        <f>AVERAGE(E127:E130)</f>
        <v>81274614.217814758</v>
      </c>
      <c r="F131" s="729">
        <f>AVERAGE(F127:F130)</f>
        <v>87606226.333333328</v>
      </c>
      <c r="G131" s="730">
        <f>AVERAGE(G127:G130)</f>
        <v>82321174.032008767</v>
      </c>
      <c r="H131" s="461"/>
      <c r="I131" s="461"/>
      <c r="J131" s="483"/>
      <c r="K131" s="483"/>
    </row>
    <row r="132" spans="1:11" ht="26.25" customHeight="1" x14ac:dyDescent="0.45">
      <c r="A132" s="380" t="s">
        <v>49</v>
      </c>
      <c r="B132" s="464">
        <v>1</v>
      </c>
      <c r="C132" s="476" t="s">
        <v>89</v>
      </c>
      <c r="D132" s="477">
        <v>14.41</v>
      </c>
      <c r="E132" s="461"/>
      <c r="F132" s="660">
        <v>15.69</v>
      </c>
      <c r="G132" s="483"/>
      <c r="H132" s="461"/>
      <c r="I132" s="461"/>
      <c r="J132" s="483"/>
      <c r="K132" s="483"/>
    </row>
    <row r="133" spans="1:11" ht="26.25" customHeight="1" x14ac:dyDescent="0.45">
      <c r="A133" s="380" t="s">
        <v>51</v>
      </c>
      <c r="B133" s="464">
        <v>1</v>
      </c>
      <c r="C133" s="478" t="s">
        <v>90</v>
      </c>
      <c r="D133" s="479">
        <f>D132*$B$88</f>
        <v>14.41</v>
      </c>
      <c r="E133" s="480"/>
      <c r="F133" s="410">
        <f>F132*$B$88</f>
        <v>15.69</v>
      </c>
      <c r="G133" s="483"/>
      <c r="H133" s="461"/>
      <c r="I133" s="461"/>
      <c r="J133" s="483"/>
      <c r="K133" s="483"/>
    </row>
    <row r="134" spans="1:11" ht="26.25" customHeight="1" thickBot="1" x14ac:dyDescent="0.4">
      <c r="A134" s="380" t="s">
        <v>53</v>
      </c>
      <c r="B134" s="480">
        <f>(B133/B132)*(B131/B130)*(B129/B128)*(B127/B126)*B125</f>
        <v>50</v>
      </c>
      <c r="C134" s="478" t="s">
        <v>91</v>
      </c>
      <c r="D134" s="481">
        <f>D133*$B$84/100</f>
        <v>14.660734</v>
      </c>
      <c r="E134" s="457"/>
      <c r="F134" s="413">
        <f>F133*$B$84/100</f>
        <v>15.963005999999998</v>
      </c>
      <c r="G134" s="483"/>
      <c r="H134" s="461"/>
      <c r="I134" s="461"/>
      <c r="J134" s="483"/>
      <c r="K134" s="483"/>
    </row>
    <row r="135" spans="1:11" ht="26.25" customHeight="1" thickBot="1" x14ac:dyDescent="0.4">
      <c r="A135" s="783" t="s">
        <v>55</v>
      </c>
      <c r="B135" s="798"/>
      <c r="C135" s="478" t="s">
        <v>92</v>
      </c>
      <c r="D135" s="482">
        <f>D134/$B$99</f>
        <v>0.29321468000000001</v>
      </c>
      <c r="E135" s="457"/>
      <c r="F135" s="417">
        <f>F134/$B$99</f>
        <v>0.31926011999999998</v>
      </c>
      <c r="G135" s="483"/>
      <c r="H135" s="461"/>
      <c r="I135" s="461"/>
      <c r="J135" s="483"/>
      <c r="K135" s="483"/>
    </row>
    <row r="136" spans="1:11" ht="26.25" customHeight="1" thickBot="1" x14ac:dyDescent="0.4">
      <c r="A136" s="785"/>
      <c r="B136" s="799"/>
      <c r="C136" s="478" t="s">
        <v>57</v>
      </c>
      <c r="D136" s="484">
        <f>$B$56/$B$117</f>
        <v>0.3</v>
      </c>
      <c r="E136" s="483"/>
      <c r="F136" s="422"/>
      <c r="G136" s="491"/>
      <c r="H136" s="461"/>
      <c r="I136" s="461"/>
      <c r="J136" s="483"/>
      <c r="K136" s="483"/>
    </row>
    <row r="137" spans="1:11" ht="26.25" customHeight="1" x14ac:dyDescent="0.35">
      <c r="A137" s="483"/>
      <c r="B137" s="483"/>
      <c r="C137" s="478" t="s">
        <v>58</v>
      </c>
      <c r="D137" s="479">
        <f>D136*$B$99</f>
        <v>15</v>
      </c>
      <c r="E137" s="483"/>
      <c r="F137" s="422"/>
      <c r="G137" s="483"/>
      <c r="H137" s="461"/>
      <c r="I137" s="461"/>
      <c r="J137" s="483"/>
      <c r="K137" s="483"/>
    </row>
    <row r="138" spans="1:11" ht="26.25" customHeight="1" thickBot="1" x14ac:dyDescent="0.4">
      <c r="A138" s="483"/>
      <c r="B138" s="483"/>
      <c r="C138" s="486" t="s">
        <v>59</v>
      </c>
      <c r="D138" s="487">
        <f>D137/B67</f>
        <v>15</v>
      </c>
      <c r="E138" s="483"/>
      <c r="F138" s="426"/>
      <c r="G138" s="483"/>
      <c r="H138" s="461"/>
      <c r="I138" s="461"/>
      <c r="J138" s="483"/>
      <c r="K138" s="483"/>
    </row>
    <row r="139" spans="1:11" ht="26.25" customHeight="1" x14ac:dyDescent="0.35">
      <c r="A139" s="483"/>
      <c r="B139" s="483"/>
      <c r="C139" s="489" t="s">
        <v>93</v>
      </c>
      <c r="D139" s="490">
        <f>AVERAGE(E127:E130,G127:G130)</f>
        <v>81797894.12491177</v>
      </c>
      <c r="E139" s="483"/>
      <c r="F139" s="426"/>
      <c r="G139" s="491"/>
      <c r="H139" s="461"/>
      <c r="I139" s="461"/>
      <c r="J139" s="483"/>
      <c r="K139" s="483"/>
    </row>
    <row r="140" spans="1:11" ht="26.25" customHeight="1" x14ac:dyDescent="0.35">
      <c r="A140" s="483"/>
      <c r="B140" s="483"/>
      <c r="C140" s="456" t="s">
        <v>61</v>
      </c>
      <c r="D140" s="493">
        <f>STDEV(E127:E130,G127:G130)/D139</f>
        <v>9.7928304650150358E-3</v>
      </c>
      <c r="E140" s="483"/>
      <c r="F140" s="426"/>
      <c r="G140" s="483"/>
      <c r="H140" s="461"/>
      <c r="I140" s="461"/>
      <c r="J140" s="483"/>
      <c r="K140" s="483"/>
    </row>
    <row r="141" spans="1:11" ht="26.25" customHeight="1" thickBot="1" x14ac:dyDescent="0.4">
      <c r="A141" s="483"/>
      <c r="B141" s="483"/>
      <c r="C141" s="458" t="s">
        <v>3</v>
      </c>
      <c r="D141" s="494">
        <f>COUNT(E127:E130,G127:G130)</f>
        <v>6</v>
      </c>
      <c r="E141" s="483"/>
      <c r="F141" s="426"/>
      <c r="G141" s="483"/>
      <c r="H141" s="461"/>
      <c r="I141" s="461"/>
      <c r="J141" s="483"/>
      <c r="K141" s="483"/>
    </row>
    <row r="142" spans="1:11" ht="26.25" customHeight="1" thickBot="1" x14ac:dyDescent="0.4">
      <c r="A142" s="430"/>
      <c r="B142" s="430"/>
      <c r="C142" s="430"/>
      <c r="D142" s="430"/>
      <c r="E142" s="430"/>
      <c r="F142" s="483"/>
      <c r="G142" s="483"/>
      <c r="H142" s="461"/>
      <c r="I142" s="461"/>
      <c r="J142" s="483"/>
      <c r="K142" s="483"/>
    </row>
    <row r="143" spans="1:11" ht="26.25" customHeight="1" x14ac:dyDescent="0.45">
      <c r="A143" s="378" t="s">
        <v>94</v>
      </c>
      <c r="B143" s="379">
        <v>1000</v>
      </c>
      <c r="C143" s="702" t="s">
        <v>121</v>
      </c>
      <c r="D143" s="496" t="s">
        <v>40</v>
      </c>
      <c r="E143" s="497" t="s">
        <v>95</v>
      </c>
      <c r="F143" s="498" t="s">
        <v>96</v>
      </c>
      <c r="G143" s="483"/>
      <c r="H143" s="461"/>
      <c r="I143" s="461"/>
      <c r="J143" s="483"/>
      <c r="K143" s="483"/>
    </row>
    <row r="144" spans="1:11" ht="26.25" customHeight="1" x14ac:dyDescent="0.45">
      <c r="A144" s="380" t="s">
        <v>97</v>
      </c>
      <c r="B144" s="381">
        <v>1</v>
      </c>
      <c r="C144" s="499">
        <v>1</v>
      </c>
      <c r="D144" s="500">
        <v>85860173</v>
      </c>
      <c r="E144" s="734">
        <f>IF(ISBLANK(D144),"-",D144/$D$139*$D$101*$B$117)</f>
        <v>314.89871683817978</v>
      </c>
      <c r="F144" s="731">
        <f t="shared" ref="F144:F149" si="5">IF(ISBLANK(D144), "-", E144/$B$56)</f>
        <v>1.0496623894605992</v>
      </c>
      <c r="G144" s="483"/>
      <c r="H144" s="461"/>
      <c r="I144" s="461"/>
      <c r="J144" s="483"/>
      <c r="K144" s="483"/>
    </row>
    <row r="145" spans="1:11" ht="26.25" customHeight="1" x14ac:dyDescent="0.45">
      <c r="A145" s="380" t="s">
        <v>71</v>
      </c>
      <c r="B145" s="381">
        <v>1</v>
      </c>
      <c r="C145" s="499">
        <v>2</v>
      </c>
      <c r="D145" s="500">
        <v>86350349</v>
      </c>
      <c r="E145" s="735">
        <f t="shared" ref="E145:E149" si="6">IF(ISBLANK(D145),"-",D145/$D$139*$D$101*$B$117)</f>
        <v>316.69647461144763</v>
      </c>
      <c r="F145" s="732">
        <f t="shared" si="5"/>
        <v>1.055654915371492</v>
      </c>
      <c r="G145" s="483"/>
      <c r="H145" s="461"/>
      <c r="I145" s="461"/>
      <c r="J145" s="483"/>
      <c r="K145" s="483"/>
    </row>
    <row r="146" spans="1:11" ht="26.25" customHeight="1" x14ac:dyDescent="0.45">
      <c r="A146" s="380" t="s">
        <v>72</v>
      </c>
      <c r="B146" s="381">
        <v>1</v>
      </c>
      <c r="C146" s="499">
        <v>3</v>
      </c>
      <c r="D146" s="500">
        <v>88013300</v>
      </c>
      <c r="E146" s="735">
        <f t="shared" si="6"/>
        <v>322.79547392355909</v>
      </c>
      <c r="F146" s="732">
        <f t="shared" si="5"/>
        <v>1.0759849130785304</v>
      </c>
      <c r="G146" s="483"/>
      <c r="H146" s="461"/>
      <c r="I146" s="461"/>
      <c r="J146" s="483"/>
      <c r="K146" s="483"/>
    </row>
    <row r="147" spans="1:11" ht="26.25" customHeight="1" x14ac:dyDescent="0.45">
      <c r="A147" s="380" t="s">
        <v>73</v>
      </c>
      <c r="B147" s="381">
        <v>1</v>
      </c>
      <c r="C147" s="499">
        <v>4</v>
      </c>
      <c r="D147" s="500">
        <v>86278544</v>
      </c>
      <c r="E147" s="735">
        <f t="shared" si="6"/>
        <v>316.43312431092392</v>
      </c>
      <c r="F147" s="732">
        <f t="shared" si="5"/>
        <v>1.054777081036413</v>
      </c>
      <c r="G147" s="483"/>
      <c r="H147" s="461"/>
      <c r="I147" s="461"/>
      <c r="J147" s="483"/>
      <c r="K147" s="483"/>
    </row>
    <row r="148" spans="1:11" ht="26.25" customHeight="1" x14ac:dyDescent="0.45">
      <c r="A148" s="380" t="s">
        <v>74</v>
      </c>
      <c r="B148" s="381">
        <v>1</v>
      </c>
      <c r="C148" s="499">
        <v>5</v>
      </c>
      <c r="D148" s="500">
        <v>89697416</v>
      </c>
      <c r="E148" s="735">
        <f t="shared" si="6"/>
        <v>328.97209748343295</v>
      </c>
      <c r="F148" s="732">
        <f t="shared" si="5"/>
        <v>1.0965736582781098</v>
      </c>
      <c r="G148" s="483"/>
      <c r="H148" s="461"/>
      <c r="I148" s="461"/>
      <c r="J148" s="483"/>
      <c r="K148" s="483"/>
    </row>
    <row r="149" spans="1:11" ht="26.25" customHeight="1" x14ac:dyDescent="0.45">
      <c r="A149" s="380" t="s">
        <v>76</v>
      </c>
      <c r="B149" s="381">
        <v>1</v>
      </c>
      <c r="C149" s="503">
        <v>6</v>
      </c>
      <c r="D149" s="504">
        <v>87793348</v>
      </c>
      <c r="E149" s="736">
        <f t="shared" si="6"/>
        <v>321.98878322930676</v>
      </c>
      <c r="F149" s="733">
        <f t="shared" si="5"/>
        <v>1.0732959440976892</v>
      </c>
      <c r="G149" s="483"/>
      <c r="H149" s="461"/>
      <c r="I149" s="461"/>
      <c r="J149" s="483"/>
      <c r="K149" s="483"/>
    </row>
    <row r="150" spans="1:11" ht="26.25" customHeight="1" x14ac:dyDescent="0.45">
      <c r="A150" s="380" t="s">
        <v>77</v>
      </c>
      <c r="B150" s="381">
        <v>1</v>
      </c>
      <c r="C150" s="499"/>
      <c r="D150" s="480"/>
      <c r="E150" s="461"/>
      <c r="F150" s="506"/>
      <c r="G150" s="483"/>
      <c r="H150" s="461"/>
      <c r="I150" s="461"/>
      <c r="J150" s="483"/>
      <c r="K150" s="483"/>
    </row>
    <row r="151" spans="1:11" ht="26.25" customHeight="1" x14ac:dyDescent="0.45">
      <c r="A151" s="380" t="s">
        <v>78</v>
      </c>
      <c r="B151" s="381">
        <v>1</v>
      </c>
      <c r="C151" s="499"/>
      <c r="D151" s="693" t="s">
        <v>48</v>
      </c>
      <c r="E151" s="533">
        <f>AVERAGE(E144:E149)</f>
        <v>320.29744506614168</v>
      </c>
      <c r="F151" s="508">
        <f>AVERAGE(F144:F149)</f>
        <v>1.0676581502204723</v>
      </c>
      <c r="G151" s="483"/>
      <c r="H151" s="461"/>
      <c r="I151" s="461"/>
      <c r="J151" s="483"/>
      <c r="K151" s="483"/>
    </row>
    <row r="152" spans="1:11" ht="26.25" customHeight="1" thickBot="1" x14ac:dyDescent="0.5">
      <c r="A152" s="380" t="s">
        <v>79</v>
      </c>
      <c r="B152" s="412">
        <f>(B151/B150)*(B149/B148)*(B147/B146)*(B145/B144)*B143</f>
        <v>1000</v>
      </c>
      <c r="C152" s="509"/>
      <c r="D152" s="694" t="s">
        <v>61</v>
      </c>
      <c r="E152" s="510">
        <f>STDEV(E144:E149)/E151</f>
        <v>1.6602787228630112E-2</v>
      </c>
      <c r="F152" s="510">
        <f>STDEV(F144:F149)/F151</f>
        <v>1.6602787228630154E-2</v>
      </c>
      <c r="G152" s="483"/>
      <c r="H152" s="461"/>
      <c r="I152" s="461"/>
      <c r="J152" s="483"/>
      <c r="K152" s="483"/>
    </row>
    <row r="153" spans="1:11" ht="26.25" customHeight="1" thickBot="1" x14ac:dyDescent="0.5">
      <c r="A153" s="783" t="s">
        <v>55</v>
      </c>
      <c r="B153" s="784"/>
      <c r="C153" s="511"/>
      <c r="D153" s="692" t="s">
        <v>3</v>
      </c>
      <c r="E153" s="512">
        <f>COUNT(E144:E149)</f>
        <v>6</v>
      </c>
      <c r="F153" s="512">
        <f>COUNT(F144:F149)</f>
        <v>6</v>
      </c>
      <c r="G153" s="483"/>
      <c r="H153" s="461"/>
      <c r="I153" s="461"/>
      <c r="J153" s="483"/>
      <c r="K153" s="483"/>
    </row>
    <row r="154" spans="1:11" ht="26.25" customHeight="1" thickBot="1" x14ac:dyDescent="0.4">
      <c r="A154" s="785"/>
      <c r="B154" s="786"/>
      <c r="C154" s="461"/>
      <c r="D154" s="461"/>
      <c r="E154" s="461"/>
      <c r="F154" s="480"/>
      <c r="G154" s="461"/>
      <c r="H154" s="461"/>
      <c r="I154" s="461"/>
      <c r="J154" s="483"/>
      <c r="K154" s="483"/>
    </row>
    <row r="155" spans="1:11" ht="26.25" customHeight="1" x14ac:dyDescent="0.45">
      <c r="A155" s="516"/>
      <c r="B155" s="472"/>
      <c r="C155" s="701"/>
      <c r="D155" s="701"/>
      <c r="E155" s="461"/>
      <c r="F155" s="461"/>
      <c r="G155" s="462"/>
      <c r="H155" s="461"/>
      <c r="I155" s="461"/>
      <c r="J155" s="483"/>
      <c r="K155" s="483"/>
    </row>
    <row r="156" spans="1:11" ht="26.25" customHeight="1" x14ac:dyDescent="0.45">
      <c r="A156" s="516"/>
      <c r="B156" s="472"/>
      <c r="C156" s="701"/>
      <c r="D156" s="701"/>
      <c r="E156" s="461"/>
      <c r="F156" s="461"/>
      <c r="G156" s="462"/>
      <c r="H156" s="461"/>
      <c r="I156" s="461"/>
      <c r="J156" s="483"/>
      <c r="K156" s="483"/>
    </row>
    <row r="157" spans="1:11" ht="26.25" customHeight="1" x14ac:dyDescent="0.35">
      <c r="A157" s="737" t="s">
        <v>146</v>
      </c>
      <c r="B157" s="738" t="s">
        <v>147</v>
      </c>
      <c r="C157" s="739"/>
      <c r="D157" s="739"/>
      <c r="E157" s="739"/>
      <c r="F157" s="740"/>
      <c r="G157" s="739"/>
      <c r="H157" s="461"/>
      <c r="I157" s="461"/>
      <c r="J157" s="483"/>
      <c r="K157" s="483"/>
    </row>
    <row r="158" spans="1:11" ht="26.25" customHeight="1" thickBot="1" x14ac:dyDescent="0.4">
      <c r="A158" s="741"/>
      <c r="B158" s="741"/>
      <c r="C158" s="739"/>
      <c r="D158" s="739"/>
      <c r="E158" s="739"/>
      <c r="F158" s="740"/>
      <c r="G158" s="739"/>
      <c r="H158" s="461"/>
      <c r="I158" s="461"/>
      <c r="J158" s="483"/>
      <c r="K158" s="483"/>
    </row>
    <row r="159" spans="1:11" ht="26.25" customHeight="1" x14ac:dyDescent="0.45">
      <c r="A159" s="742" t="s">
        <v>48</v>
      </c>
      <c r="B159" s="743">
        <f>AVERAGE(F109:F114,F144:F149)</f>
        <v>1.0038959904741613</v>
      </c>
      <c r="C159" s="739"/>
      <c r="D159" s="739"/>
      <c r="E159" s="739"/>
      <c r="F159" s="740"/>
      <c r="G159" s="739"/>
      <c r="H159" s="461"/>
      <c r="I159" s="461"/>
      <c r="J159" s="483"/>
      <c r="K159" s="483"/>
    </row>
    <row r="160" spans="1:11" ht="26.25" customHeight="1" x14ac:dyDescent="0.45">
      <c r="A160" s="744" t="s">
        <v>61</v>
      </c>
      <c r="B160" s="745">
        <f>STDEV(F109:F114,F144:F149)/B159</f>
        <v>9.5027340271908553E-2</v>
      </c>
      <c r="C160" s="739"/>
      <c r="D160" s="739"/>
      <c r="E160" s="739"/>
      <c r="F160" s="740"/>
      <c r="G160" s="739"/>
      <c r="H160" s="461"/>
      <c r="I160" s="461"/>
      <c r="J160" s="483"/>
      <c r="K160" s="483"/>
    </row>
    <row r="161" spans="1:11" ht="26.25" customHeight="1" thickBot="1" x14ac:dyDescent="0.5">
      <c r="A161" s="746" t="s">
        <v>3</v>
      </c>
      <c r="B161" s="747">
        <f>COUNT(F109:F114,F144:F149)</f>
        <v>12</v>
      </c>
      <c r="C161" s="739"/>
      <c r="D161" s="739"/>
      <c r="E161" s="739"/>
      <c r="F161" s="740"/>
      <c r="G161" s="739"/>
      <c r="H161" s="461"/>
      <c r="I161" s="461"/>
      <c r="J161" s="483"/>
      <c r="K161" s="483"/>
    </row>
    <row r="162" spans="1:11" ht="26.25" customHeight="1" x14ac:dyDescent="0.35">
      <c r="A162" s="748" t="s">
        <v>148</v>
      </c>
      <c r="B162" s="752" t="str">
        <f>CONCATENATE("The amount  of ", B26, " dissolved as a percentage of the stated label claim is: ")</f>
        <v xml:space="preserve">The amount  of LAMIVUDINE dissolved as a percentage of the stated label claim is: </v>
      </c>
      <c r="C162" s="753"/>
      <c r="D162" s="753"/>
      <c r="E162" s="751">
        <f>B159</f>
        <v>1.0038959904741613</v>
      </c>
      <c r="F162" s="750"/>
      <c r="G162" s="576"/>
      <c r="H162" s="461"/>
      <c r="I162" s="461"/>
      <c r="J162" s="483"/>
      <c r="K162" s="483"/>
    </row>
    <row r="163" spans="1:11" ht="26.25" customHeight="1" x14ac:dyDescent="0.45">
      <c r="A163" s="516"/>
      <c r="B163" s="472"/>
      <c r="C163" s="701"/>
      <c r="D163" s="701"/>
      <c r="E163" s="461"/>
      <c r="F163" s="461"/>
      <c r="G163" s="462"/>
      <c r="H163" s="461"/>
      <c r="I163" s="461"/>
      <c r="J163" s="483"/>
      <c r="K163" s="483"/>
    </row>
    <row r="164" spans="1:11" ht="26.25" customHeight="1" x14ac:dyDescent="0.45">
      <c r="A164" s="516"/>
      <c r="B164" s="472"/>
      <c r="C164" s="701"/>
      <c r="D164" s="701"/>
      <c r="E164" s="461"/>
      <c r="F164" s="461"/>
      <c r="G164" s="462"/>
      <c r="H164" s="461"/>
      <c r="I164" s="461"/>
      <c r="J164" s="483"/>
      <c r="K164" s="483"/>
    </row>
    <row r="165" spans="1:11" ht="19.5" customHeight="1" x14ac:dyDescent="0.35">
      <c r="A165" s="513"/>
      <c r="B165" s="513"/>
      <c r="C165" s="514"/>
      <c r="D165" s="514"/>
      <c r="E165" s="514"/>
      <c r="F165" s="514"/>
      <c r="G165" s="514"/>
      <c r="H165" s="514"/>
    </row>
    <row r="166" spans="1:11" ht="18" x14ac:dyDescent="0.35">
      <c r="B166" s="797" t="s">
        <v>4</v>
      </c>
      <c r="C166" s="797"/>
      <c r="E166" s="467" t="s">
        <v>5</v>
      </c>
      <c r="F166" s="515"/>
      <c r="G166" s="797" t="s">
        <v>6</v>
      </c>
      <c r="H166" s="797"/>
    </row>
    <row r="167" spans="1:11" ht="39.6" customHeight="1" x14ac:dyDescent="0.35">
      <c r="A167" s="516" t="s">
        <v>7</v>
      </c>
      <c r="B167" s="764" t="s">
        <v>137</v>
      </c>
      <c r="C167" s="764"/>
      <c r="E167" s="517"/>
      <c r="F167" s="356"/>
      <c r="G167" s="518"/>
      <c r="H167" s="518"/>
    </row>
    <row r="168" spans="1:11" ht="46.8" customHeight="1" x14ac:dyDescent="0.35">
      <c r="A168" s="516" t="s">
        <v>8</v>
      </c>
      <c r="B168" s="519"/>
      <c r="C168" s="519"/>
      <c r="E168" s="519"/>
      <c r="F168" s="356"/>
      <c r="G168" s="520"/>
      <c r="H168" s="520"/>
    </row>
    <row r="169" spans="1:11" ht="18" x14ac:dyDescent="0.35">
      <c r="A169" s="452"/>
      <c r="B169" s="452"/>
      <c r="C169" s="453"/>
      <c r="D169" s="453"/>
      <c r="E169" s="453"/>
      <c r="F169" s="457"/>
      <c r="G169" s="453"/>
      <c r="H169" s="453"/>
      <c r="I169" s="356"/>
    </row>
    <row r="170" spans="1:11" ht="18" x14ac:dyDescent="0.35">
      <c r="A170" s="452"/>
      <c r="B170" s="452"/>
      <c r="C170" s="453"/>
      <c r="D170" s="453"/>
      <c r="E170" s="453"/>
      <c r="F170" s="457"/>
      <c r="G170" s="453"/>
      <c r="H170" s="453"/>
      <c r="I170" s="356"/>
    </row>
    <row r="171" spans="1:11" ht="18" x14ac:dyDescent="0.35">
      <c r="A171" s="452"/>
      <c r="B171" s="452"/>
      <c r="C171" s="453"/>
      <c r="D171" s="453"/>
      <c r="E171" s="453"/>
      <c r="F171" s="457"/>
      <c r="G171" s="453"/>
      <c r="H171" s="453"/>
      <c r="I171" s="356"/>
    </row>
    <row r="172" spans="1:11" ht="18" x14ac:dyDescent="0.35">
      <c r="A172" s="452"/>
      <c r="B172" s="452"/>
      <c r="C172" s="453"/>
      <c r="D172" s="453"/>
      <c r="E172" s="453"/>
      <c r="F172" s="457"/>
      <c r="G172" s="453"/>
      <c r="H172" s="453"/>
      <c r="I172" s="356"/>
    </row>
    <row r="173" spans="1:11" ht="18" x14ac:dyDescent="0.35">
      <c r="A173" s="452"/>
      <c r="B173" s="452"/>
      <c r="C173" s="453"/>
      <c r="D173" s="453"/>
      <c r="E173" s="453"/>
      <c r="F173" s="457"/>
      <c r="G173" s="453"/>
      <c r="H173" s="453"/>
      <c r="I173" s="356"/>
    </row>
    <row r="174" spans="1:11" ht="18" x14ac:dyDescent="0.35">
      <c r="A174" s="452"/>
      <c r="B174" s="452"/>
      <c r="C174" s="453"/>
      <c r="D174" s="453"/>
      <c r="E174" s="453"/>
      <c r="F174" s="457"/>
      <c r="G174" s="453"/>
      <c r="H174" s="453"/>
      <c r="I174" s="356"/>
    </row>
    <row r="175" spans="1:11" ht="18" x14ac:dyDescent="0.35">
      <c r="A175" s="452"/>
      <c r="B175" s="452"/>
      <c r="C175" s="453"/>
      <c r="D175" s="453"/>
      <c r="E175" s="453"/>
      <c r="F175" s="457"/>
      <c r="G175" s="453"/>
      <c r="H175" s="453"/>
      <c r="I175" s="356"/>
    </row>
    <row r="176" spans="1:11" ht="18" x14ac:dyDescent="0.35">
      <c r="A176" s="452"/>
      <c r="B176" s="452"/>
      <c r="C176" s="453"/>
      <c r="D176" s="453"/>
      <c r="E176" s="453"/>
      <c r="F176" s="457"/>
      <c r="G176" s="453"/>
      <c r="H176" s="453"/>
      <c r="I176" s="356"/>
    </row>
    <row r="177" spans="1:9" ht="18" x14ac:dyDescent="0.35">
      <c r="A177" s="452"/>
      <c r="B177" s="452"/>
      <c r="C177" s="453"/>
      <c r="D177" s="453"/>
      <c r="E177" s="453"/>
      <c r="F177" s="457"/>
      <c r="G177" s="453"/>
      <c r="H177" s="453"/>
      <c r="I177" s="356"/>
    </row>
    <row r="294" spans="1:1" x14ac:dyDescent="0.3">
      <c r="A294" s="1">
        <v>5</v>
      </c>
    </row>
  </sheetData>
  <sheetProtection formatColumns="0" formatRows="0" insertColumns="0" insertHyperlinks="0" deleteColumns="0" deleteRows="0" autoFilter="0" pivotTables="0"/>
  <mergeCells count="33">
    <mergeCell ref="A153:B154"/>
    <mergeCell ref="A1:I7"/>
    <mergeCell ref="A8:I14"/>
    <mergeCell ref="A118:B119"/>
    <mergeCell ref="I93:I94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C83:G83"/>
    <mergeCell ref="C85:H85"/>
    <mergeCell ref="B167:C167"/>
    <mergeCell ref="A16:H16"/>
    <mergeCell ref="A17:H17"/>
    <mergeCell ref="C29:G29"/>
    <mergeCell ref="C31:H31"/>
    <mergeCell ref="C32:H32"/>
    <mergeCell ref="C64:C67"/>
    <mergeCell ref="D64:D67"/>
    <mergeCell ref="C121:D121"/>
    <mergeCell ref="B166:C166"/>
    <mergeCell ref="G166:H166"/>
    <mergeCell ref="C86:H86"/>
    <mergeCell ref="F90:G90"/>
    <mergeCell ref="A100:B101"/>
    <mergeCell ref="F125:G125"/>
    <mergeCell ref="A135:B136"/>
  </mergeCells>
  <conditionalFormatting sqref="E51">
    <cfRule type="cellIs" dxfId="27" priority="2" operator="greaterThan">
      <formula>0.02</formula>
    </cfRule>
  </conditionalFormatting>
  <conditionalFormatting sqref="D51">
    <cfRule type="cellIs" dxfId="26" priority="3" operator="greaterThan">
      <formula>0.02</formula>
    </cfRule>
  </conditionalFormatting>
  <conditionalFormatting sqref="G73">
    <cfRule type="cellIs" dxfId="25" priority="4" operator="greaterThan">
      <formula>0.02</formula>
    </cfRule>
  </conditionalFormatting>
  <conditionalFormatting sqref="D105">
    <cfRule type="cellIs" dxfId="24" priority="6" operator="greaterThan">
      <formula>0.02</formula>
    </cfRule>
  </conditionalFormatting>
  <conditionalFormatting sqref="I39">
    <cfRule type="cellIs" dxfId="23" priority="7" operator="lessThanOrEqual">
      <formula>0.02</formula>
    </cfRule>
  </conditionalFormatting>
  <conditionalFormatting sqref="I39">
    <cfRule type="cellIs" dxfId="22" priority="8" operator="greaterThan">
      <formula>0.02</formula>
    </cfRule>
  </conditionalFormatting>
  <conditionalFormatting sqref="I93">
    <cfRule type="cellIs" dxfId="21" priority="9" operator="lessThanOrEqual">
      <formula>0.02</formula>
    </cfRule>
  </conditionalFormatting>
  <conditionalFormatting sqref="I93">
    <cfRule type="cellIs" dxfId="20" priority="10" operator="greaterThan">
      <formula>0.02</formula>
    </cfRule>
  </conditionalFormatting>
  <conditionalFormatting sqref="D140">
    <cfRule type="cellIs" dxfId="19" priority="1" operator="greaterThan">
      <formula>0.02</formula>
    </cfRule>
  </conditionalFormatting>
  <printOptions horizontalCentered="1"/>
  <pageMargins left="0.7" right="0.7" top="0.75" bottom="0.75" header="0.3" footer="0.3"/>
  <pageSetup scale="26" fitToHeight="2" orientation="portrait" r:id="rId1"/>
  <headerFooter>
    <oddHeader>&amp;LVer 3</oddHeader>
    <oddFooter>&amp;LNQCL/ADDO/014&amp;CPage &amp;P of &amp;N&amp;R&amp;D &amp;T</oddFooter>
  </headerFooter>
  <rowBreaks count="1" manualBreakCount="1">
    <brk id="12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abSelected="1" view="pageBreakPreview" topLeftCell="A137" zoomScale="60" zoomScaleNormal="70" zoomScalePageLayoutView="55" workbookViewId="0">
      <selection activeCell="F167" sqref="F167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76"/>
  </cols>
  <sheetData>
    <row r="1" spans="1:12" customFormat="1" x14ac:dyDescent="0.3">
      <c r="A1" s="781" t="s">
        <v>22</v>
      </c>
      <c r="B1" s="781"/>
      <c r="C1" s="781"/>
      <c r="D1" s="781"/>
      <c r="E1" s="781"/>
      <c r="F1" s="781"/>
      <c r="G1" s="781"/>
      <c r="H1" s="781"/>
      <c r="I1" s="781"/>
      <c r="J1" s="1"/>
      <c r="K1" s="1"/>
      <c r="L1" s="1"/>
    </row>
    <row r="2" spans="1:12" customFormat="1" x14ac:dyDescent="0.3">
      <c r="A2" s="781"/>
      <c r="B2" s="781"/>
      <c r="C2" s="781"/>
      <c r="D2" s="781"/>
      <c r="E2" s="781"/>
      <c r="F2" s="781"/>
      <c r="G2" s="781"/>
      <c r="H2" s="781"/>
      <c r="I2" s="781"/>
      <c r="J2" s="1"/>
      <c r="K2" s="1"/>
      <c r="L2" s="1"/>
    </row>
    <row r="3" spans="1:12" customFormat="1" x14ac:dyDescent="0.3">
      <c r="A3" s="781"/>
      <c r="B3" s="781"/>
      <c r="C3" s="781"/>
      <c r="D3" s="781"/>
      <c r="E3" s="781"/>
      <c r="F3" s="781"/>
      <c r="G3" s="781"/>
      <c r="H3" s="781"/>
      <c r="I3" s="781"/>
      <c r="J3" s="1"/>
      <c r="K3" s="1"/>
      <c r="L3" s="1"/>
    </row>
    <row r="4" spans="1:12" customFormat="1" x14ac:dyDescent="0.3">
      <c r="A4" s="781"/>
      <c r="B4" s="781"/>
      <c r="C4" s="781"/>
      <c r="D4" s="781"/>
      <c r="E4" s="781"/>
      <c r="F4" s="781"/>
      <c r="G4" s="781"/>
      <c r="H4" s="781"/>
      <c r="I4" s="781"/>
      <c r="J4" s="1"/>
      <c r="K4" s="1"/>
      <c r="L4" s="1"/>
    </row>
    <row r="5" spans="1:12" customFormat="1" x14ac:dyDescent="0.3">
      <c r="A5" s="781"/>
      <c r="B5" s="781"/>
      <c r="C5" s="781"/>
      <c r="D5" s="781"/>
      <c r="E5" s="781"/>
      <c r="F5" s="781"/>
      <c r="G5" s="781"/>
      <c r="H5" s="781"/>
      <c r="I5" s="781"/>
      <c r="J5" s="1"/>
      <c r="K5" s="1"/>
      <c r="L5" s="1"/>
    </row>
    <row r="6" spans="1:12" customFormat="1" x14ac:dyDescent="0.3">
      <c r="A6" s="781"/>
      <c r="B6" s="781"/>
      <c r="C6" s="781"/>
      <c r="D6" s="781"/>
      <c r="E6" s="781"/>
      <c r="F6" s="781"/>
      <c r="G6" s="781"/>
      <c r="H6" s="781"/>
      <c r="I6" s="781"/>
      <c r="J6" s="1"/>
      <c r="K6" s="1"/>
      <c r="L6" s="1"/>
    </row>
    <row r="7" spans="1:12" customFormat="1" x14ac:dyDescent="0.3">
      <c r="A7" s="781"/>
      <c r="B7" s="781"/>
      <c r="C7" s="781"/>
      <c r="D7" s="781"/>
      <c r="E7" s="781"/>
      <c r="F7" s="781"/>
      <c r="G7" s="781"/>
      <c r="H7" s="781"/>
      <c r="I7" s="781"/>
      <c r="J7" s="1"/>
      <c r="K7" s="1"/>
      <c r="L7" s="1"/>
    </row>
    <row r="8" spans="1:12" customFormat="1" x14ac:dyDescent="0.3">
      <c r="A8" s="782" t="s">
        <v>23</v>
      </c>
      <c r="B8" s="782"/>
      <c r="C8" s="782"/>
      <c r="D8" s="782"/>
      <c r="E8" s="782"/>
      <c r="F8" s="782"/>
      <c r="G8" s="782"/>
      <c r="H8" s="782"/>
      <c r="I8" s="782"/>
      <c r="J8" s="1"/>
      <c r="K8" s="1"/>
      <c r="L8" s="1"/>
    </row>
    <row r="9" spans="1:12" customFormat="1" x14ac:dyDescent="0.3">
      <c r="A9" s="782"/>
      <c r="B9" s="782"/>
      <c r="C9" s="782"/>
      <c r="D9" s="782"/>
      <c r="E9" s="782"/>
      <c r="F9" s="782"/>
      <c r="G9" s="782"/>
      <c r="H9" s="782"/>
      <c r="I9" s="782"/>
      <c r="J9" s="1"/>
      <c r="K9" s="1"/>
      <c r="L9" s="1"/>
    </row>
    <row r="10" spans="1:12" customFormat="1" x14ac:dyDescent="0.3">
      <c r="A10" s="782"/>
      <c r="B10" s="782"/>
      <c r="C10" s="782"/>
      <c r="D10" s="782"/>
      <c r="E10" s="782"/>
      <c r="F10" s="782"/>
      <c r="G10" s="782"/>
      <c r="H10" s="782"/>
      <c r="I10" s="782"/>
      <c r="J10" s="1"/>
      <c r="K10" s="1"/>
      <c r="L10" s="1"/>
    </row>
    <row r="11" spans="1:12" customFormat="1" x14ac:dyDescent="0.3">
      <c r="A11" s="782"/>
      <c r="B11" s="782"/>
      <c r="C11" s="782"/>
      <c r="D11" s="782"/>
      <c r="E11" s="782"/>
      <c r="F11" s="782"/>
      <c r="G11" s="782"/>
      <c r="H11" s="782"/>
      <c r="I11" s="782"/>
      <c r="J11" s="1"/>
      <c r="K11" s="1"/>
      <c r="L11" s="1"/>
    </row>
    <row r="12" spans="1:12" customFormat="1" x14ac:dyDescent="0.3">
      <c r="A12" s="782"/>
      <c r="B12" s="782"/>
      <c r="C12" s="782"/>
      <c r="D12" s="782"/>
      <c r="E12" s="782"/>
      <c r="F12" s="782"/>
      <c r="G12" s="782"/>
      <c r="H12" s="782"/>
      <c r="I12" s="782"/>
      <c r="J12" s="1"/>
      <c r="K12" s="1"/>
      <c r="L12" s="1"/>
    </row>
    <row r="13" spans="1:12" customFormat="1" x14ac:dyDescent="0.3">
      <c r="A13" s="782"/>
      <c r="B13" s="782"/>
      <c r="C13" s="782"/>
      <c r="D13" s="782"/>
      <c r="E13" s="782"/>
      <c r="F13" s="782"/>
      <c r="G13" s="782"/>
      <c r="H13" s="782"/>
      <c r="I13" s="782"/>
      <c r="J13" s="1"/>
      <c r="K13" s="1"/>
      <c r="L13" s="1"/>
    </row>
    <row r="14" spans="1:12" customFormat="1" x14ac:dyDescent="0.3">
      <c r="A14" s="782"/>
      <c r="B14" s="782"/>
      <c r="C14" s="782"/>
      <c r="D14" s="782"/>
      <c r="E14" s="782"/>
      <c r="F14" s="782"/>
      <c r="G14" s="782"/>
      <c r="H14" s="782"/>
      <c r="I14" s="782"/>
      <c r="J14" s="1"/>
      <c r="K14" s="1"/>
      <c r="L14" s="1"/>
    </row>
    <row r="15" spans="1:12" customFormat="1" ht="18" x14ac:dyDescent="0.35">
      <c r="A15" s="17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8" x14ac:dyDescent="0.35">
      <c r="A16" s="765" t="s">
        <v>9</v>
      </c>
      <c r="B16" s="766"/>
      <c r="C16" s="766"/>
      <c r="D16" s="766"/>
      <c r="E16" s="766"/>
      <c r="F16" s="766"/>
      <c r="G16" s="766"/>
      <c r="H16" s="767"/>
      <c r="I16" s="1"/>
      <c r="J16" s="1"/>
      <c r="K16" s="1"/>
      <c r="L16" s="1"/>
    </row>
    <row r="17" spans="1:14" customFormat="1" ht="21" x14ac:dyDescent="0.3">
      <c r="A17" s="768" t="s">
        <v>24</v>
      </c>
      <c r="B17" s="768"/>
      <c r="C17" s="768"/>
      <c r="D17" s="768"/>
      <c r="E17" s="768"/>
      <c r="F17" s="768"/>
      <c r="G17" s="768"/>
      <c r="H17" s="768"/>
      <c r="I17" s="1"/>
      <c r="J17" s="1"/>
      <c r="K17" s="1"/>
      <c r="L17" s="1"/>
    </row>
    <row r="18" spans="1:14" customFormat="1" ht="25.8" x14ac:dyDescent="0.5">
      <c r="A18" s="179" t="s">
        <v>11</v>
      </c>
      <c r="B18" s="644" t="s">
        <v>126</v>
      </c>
      <c r="C18" s="644"/>
      <c r="D18" s="342"/>
      <c r="E18" s="180"/>
      <c r="F18" s="181"/>
      <c r="G18" s="181"/>
      <c r="H18" s="181"/>
      <c r="I18" s="1"/>
      <c r="J18" s="1"/>
      <c r="K18" s="1"/>
      <c r="L18" s="1"/>
    </row>
    <row r="19" spans="1:14" customFormat="1" ht="25.8" x14ac:dyDescent="0.5">
      <c r="A19" s="179" t="s">
        <v>12</v>
      </c>
      <c r="B19" s="182" t="s">
        <v>139</v>
      </c>
      <c r="C19" s="355">
        <v>29</v>
      </c>
      <c r="D19" s="181"/>
      <c r="E19" s="181"/>
      <c r="F19" s="181"/>
      <c r="G19" s="181"/>
      <c r="H19" s="181"/>
      <c r="I19" s="1"/>
      <c r="J19" s="1"/>
      <c r="K19" s="1"/>
      <c r="L19" s="1"/>
    </row>
    <row r="20" spans="1:14" customFormat="1" ht="25.8" x14ac:dyDescent="0.5">
      <c r="A20" s="179" t="s">
        <v>13</v>
      </c>
      <c r="B20" s="645" t="s">
        <v>127</v>
      </c>
      <c r="C20" s="645"/>
      <c r="D20" s="181"/>
      <c r="E20" s="181"/>
      <c r="F20" s="181"/>
      <c r="G20" s="181"/>
      <c r="H20" s="181"/>
      <c r="I20" s="1"/>
      <c r="J20" s="1"/>
      <c r="K20" s="1"/>
      <c r="L20" s="1"/>
    </row>
    <row r="21" spans="1:14" customFormat="1" ht="25.8" x14ac:dyDescent="0.5">
      <c r="A21" s="179" t="s">
        <v>14</v>
      </c>
      <c r="B21" s="802" t="s">
        <v>129</v>
      </c>
      <c r="C21" s="802"/>
      <c r="D21" s="802"/>
      <c r="E21" s="802"/>
      <c r="F21" s="802"/>
      <c r="G21" s="802"/>
      <c r="H21" s="802"/>
      <c r="I21" s="183"/>
      <c r="J21" s="1"/>
      <c r="K21" s="1"/>
      <c r="L21" s="1"/>
    </row>
    <row r="22" spans="1:14" customFormat="1" ht="25.8" x14ac:dyDescent="0.5">
      <c r="A22" s="179" t="s">
        <v>15</v>
      </c>
      <c r="B22" s="184">
        <v>42495.458773148152</v>
      </c>
      <c r="C22" s="181"/>
      <c r="D22" s="181"/>
      <c r="E22" s="181"/>
      <c r="F22" s="181"/>
      <c r="G22" s="181"/>
      <c r="H22" s="181"/>
      <c r="I22" s="1"/>
      <c r="J22" s="1"/>
      <c r="K22" s="1"/>
      <c r="L22" s="1"/>
    </row>
    <row r="23" spans="1:14" customFormat="1" ht="25.8" x14ac:dyDescent="0.5">
      <c r="A23" s="179" t="s">
        <v>16</v>
      </c>
      <c r="B23" s="184">
        <v>42500.458773148152</v>
      </c>
      <c r="C23" s="181"/>
      <c r="D23" s="181"/>
      <c r="E23" s="181"/>
      <c r="F23" s="181"/>
      <c r="G23" s="181"/>
      <c r="H23" s="181"/>
      <c r="I23" s="1"/>
      <c r="J23" s="1"/>
      <c r="K23" s="1"/>
      <c r="L23" s="1"/>
    </row>
    <row r="24" spans="1:14" customFormat="1" ht="18" x14ac:dyDescent="0.35">
      <c r="A24" s="179"/>
      <c r="B24" s="185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86" t="s">
        <v>0</v>
      </c>
      <c r="B25" s="185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25.2" x14ac:dyDescent="0.45">
      <c r="A26" s="187" t="s">
        <v>1</v>
      </c>
      <c r="B26" s="644" t="s">
        <v>133</v>
      </c>
      <c r="C26" s="646"/>
    </row>
    <row r="27" spans="1:14" ht="25.8" x14ac:dyDescent="0.5">
      <c r="A27" s="188" t="s">
        <v>25</v>
      </c>
      <c r="B27" s="648" t="s">
        <v>101</v>
      </c>
      <c r="C27" s="654"/>
      <c r="D27" s="654"/>
    </row>
    <row r="28" spans="1:14" ht="25.8" thickBot="1" x14ac:dyDescent="0.5">
      <c r="A28" s="188" t="s">
        <v>2</v>
      </c>
      <c r="B28" s="189">
        <v>98.8</v>
      </c>
    </row>
    <row r="29" spans="1:14" s="573" customFormat="1" ht="25.8" x14ac:dyDescent="0.5">
      <c r="A29" s="188" t="s">
        <v>26</v>
      </c>
      <c r="B29" s="190">
        <v>0</v>
      </c>
      <c r="C29" s="769" t="s">
        <v>27</v>
      </c>
      <c r="D29" s="770"/>
      <c r="E29" s="770"/>
      <c r="F29" s="770"/>
      <c r="G29" s="771"/>
      <c r="H29" s="483"/>
      <c r="I29" s="191"/>
      <c r="J29" s="191"/>
      <c r="K29" s="191"/>
      <c r="L29" s="191"/>
    </row>
    <row r="30" spans="1:14" s="573" customFormat="1" ht="18" x14ac:dyDescent="0.35">
      <c r="A30" s="188" t="s">
        <v>28</v>
      </c>
      <c r="B30" s="192">
        <f>B28-B29</f>
        <v>98.8</v>
      </c>
      <c r="C30" s="193"/>
      <c r="D30" s="193"/>
      <c r="E30" s="193"/>
      <c r="F30" s="193"/>
      <c r="G30" s="194"/>
      <c r="H30" s="483"/>
      <c r="I30" s="191"/>
      <c r="J30" s="191"/>
      <c r="K30" s="191"/>
      <c r="L30" s="191"/>
    </row>
    <row r="31" spans="1:14" s="573" customFormat="1" ht="25.2" x14ac:dyDescent="0.45">
      <c r="A31" s="188" t="s">
        <v>29</v>
      </c>
      <c r="B31" s="195">
        <v>1</v>
      </c>
      <c r="C31" s="772" t="s">
        <v>30</v>
      </c>
      <c r="D31" s="773"/>
      <c r="E31" s="773"/>
      <c r="F31" s="773"/>
      <c r="G31" s="773"/>
      <c r="H31" s="774"/>
      <c r="I31" s="191"/>
      <c r="J31" s="191"/>
      <c r="K31" s="191"/>
      <c r="L31" s="191"/>
    </row>
    <row r="32" spans="1:14" s="573" customFormat="1" ht="25.2" x14ac:dyDescent="0.45">
      <c r="A32" s="188" t="s">
        <v>31</v>
      </c>
      <c r="B32" s="195">
        <v>1</v>
      </c>
      <c r="C32" s="772" t="s">
        <v>32</v>
      </c>
      <c r="D32" s="773"/>
      <c r="E32" s="773"/>
      <c r="F32" s="773"/>
      <c r="G32" s="773"/>
      <c r="H32" s="774"/>
      <c r="I32" s="191"/>
      <c r="J32" s="191"/>
      <c r="K32" s="191"/>
      <c r="L32" s="196"/>
      <c r="M32" s="574"/>
      <c r="N32" s="575"/>
    </row>
    <row r="33" spans="1:14" s="573" customFormat="1" ht="18" x14ac:dyDescent="0.35">
      <c r="A33" s="188"/>
      <c r="B33" s="197"/>
      <c r="C33" s="198"/>
      <c r="D33" s="198"/>
      <c r="E33" s="198"/>
      <c r="F33" s="198"/>
      <c r="G33" s="198"/>
      <c r="H33" s="198"/>
      <c r="I33" s="191"/>
      <c r="J33" s="191"/>
      <c r="K33" s="191"/>
      <c r="L33" s="196"/>
      <c r="M33" s="574"/>
      <c r="N33" s="575"/>
    </row>
    <row r="34" spans="1:14" s="573" customFormat="1" ht="18" x14ac:dyDescent="0.35">
      <c r="A34" s="188" t="s">
        <v>33</v>
      </c>
      <c r="B34" s="199">
        <f>B31/B32</f>
        <v>1</v>
      </c>
      <c r="C34" s="178" t="s">
        <v>34</v>
      </c>
      <c r="D34" s="178"/>
      <c r="E34" s="178"/>
      <c r="F34" s="178"/>
      <c r="G34" s="178"/>
      <c r="H34" s="483"/>
      <c r="I34" s="191"/>
      <c r="J34" s="191"/>
      <c r="K34" s="191"/>
      <c r="L34" s="196"/>
      <c r="M34" s="574"/>
      <c r="N34" s="575"/>
    </row>
    <row r="35" spans="1:14" s="573" customFormat="1" ht="18" x14ac:dyDescent="0.35">
      <c r="A35" s="188"/>
      <c r="B35" s="192"/>
      <c r="C35" s="2"/>
      <c r="D35" s="2"/>
      <c r="E35" s="2"/>
      <c r="F35" s="2"/>
      <c r="G35" s="178"/>
      <c r="H35" s="483"/>
      <c r="I35" s="191"/>
      <c r="J35" s="191"/>
      <c r="K35" s="191"/>
      <c r="L35" s="196"/>
      <c r="M35" s="574"/>
      <c r="N35" s="575"/>
    </row>
    <row r="36" spans="1:14" s="573" customFormat="1" ht="25.2" x14ac:dyDescent="0.45">
      <c r="A36" s="200" t="s">
        <v>35</v>
      </c>
      <c r="B36" s="201">
        <v>25</v>
      </c>
      <c r="C36" s="178"/>
      <c r="D36" s="794" t="s">
        <v>36</v>
      </c>
      <c r="E36" s="795"/>
      <c r="F36" s="794" t="s">
        <v>37</v>
      </c>
      <c r="G36" s="796"/>
      <c r="H36" s="483"/>
      <c r="I36" s="2"/>
      <c r="J36" s="191"/>
      <c r="K36" s="191"/>
      <c r="L36" s="196"/>
      <c r="M36" s="574"/>
      <c r="N36" s="575"/>
    </row>
    <row r="37" spans="1:14" s="573" customFormat="1" ht="25.2" x14ac:dyDescent="0.45">
      <c r="A37" s="202" t="s">
        <v>38</v>
      </c>
      <c r="B37" s="203">
        <v>5</v>
      </c>
      <c r="C37" s="204" t="s">
        <v>39</v>
      </c>
      <c r="D37" s="205" t="s">
        <v>40</v>
      </c>
      <c r="E37" s="206" t="s">
        <v>41</v>
      </c>
      <c r="F37" s="205" t="s">
        <v>40</v>
      </c>
      <c r="G37" s="207" t="s">
        <v>41</v>
      </c>
      <c r="H37" s="483"/>
      <c r="I37" s="208" t="s">
        <v>42</v>
      </c>
      <c r="J37" s="191"/>
      <c r="K37" s="191"/>
      <c r="L37" s="196"/>
      <c r="M37" s="574"/>
      <c r="N37" s="575"/>
    </row>
    <row r="38" spans="1:14" s="573" customFormat="1" ht="25.2" x14ac:dyDescent="0.45">
      <c r="A38" s="202" t="s">
        <v>43</v>
      </c>
      <c r="B38" s="203">
        <v>50</v>
      </c>
      <c r="C38" s="209">
        <v>1</v>
      </c>
      <c r="D38" s="210">
        <v>12930095</v>
      </c>
      <c r="E38" s="211">
        <f>IF(ISBLANK(D38),"-",$D$48/$D$45*D38)</f>
        <v>12535575.371895701</v>
      </c>
      <c r="F38" s="210">
        <v>13414902</v>
      </c>
      <c r="G38" s="212">
        <f>IF(ISBLANK(F38),"-",$D$48/$F$45*F38)</f>
        <v>12358467.262489684</v>
      </c>
      <c r="H38" s="483"/>
      <c r="I38" s="213"/>
      <c r="J38" s="191"/>
      <c r="K38" s="191"/>
      <c r="L38" s="196"/>
      <c r="M38" s="574"/>
      <c r="N38" s="575"/>
    </row>
    <row r="39" spans="1:14" s="573" customFormat="1" ht="25.2" x14ac:dyDescent="0.45">
      <c r="A39" s="202" t="s">
        <v>44</v>
      </c>
      <c r="B39" s="203">
        <v>1</v>
      </c>
      <c r="C39" s="214">
        <v>2</v>
      </c>
      <c r="D39" s="215">
        <v>12905692</v>
      </c>
      <c r="E39" s="216">
        <f>IF(ISBLANK(D39),"-",$D$48/$D$45*D39)</f>
        <v>12511916.949757243</v>
      </c>
      <c r="F39" s="215">
        <v>13416161</v>
      </c>
      <c r="G39" s="217">
        <f>IF(ISBLANK(F39),"-",$D$48/$F$45*F39)</f>
        <v>12359627.115188085</v>
      </c>
      <c r="H39" s="483"/>
      <c r="I39" s="787">
        <f>ABS((F43/D43*D42)-F42)/D42</f>
        <v>1.4385832175622231E-2</v>
      </c>
      <c r="J39" s="191"/>
      <c r="K39" s="191"/>
      <c r="L39" s="196"/>
      <c r="M39" s="574"/>
      <c r="N39" s="575"/>
    </row>
    <row r="40" spans="1:14" ht="25.2" x14ac:dyDescent="0.45">
      <c r="A40" s="202" t="s">
        <v>45</v>
      </c>
      <c r="B40" s="203">
        <v>1</v>
      </c>
      <c r="C40" s="214">
        <v>3</v>
      </c>
      <c r="D40" s="215">
        <v>12898653</v>
      </c>
      <c r="E40" s="216">
        <f>IF(ISBLANK(D40),"-",$D$48/$D$45*D40)</f>
        <v>12505092.721857697</v>
      </c>
      <c r="F40" s="215">
        <v>13374390</v>
      </c>
      <c r="G40" s="217">
        <f>IF(ISBLANK(F40),"-",$D$48/$F$45*F40)</f>
        <v>12321145.616327977</v>
      </c>
      <c r="I40" s="787"/>
      <c r="L40" s="196"/>
      <c r="M40" s="574"/>
      <c r="N40" s="653"/>
    </row>
    <row r="41" spans="1:14" ht="25.2" x14ac:dyDescent="0.45">
      <c r="A41" s="202" t="s">
        <v>46</v>
      </c>
      <c r="B41" s="203">
        <v>1</v>
      </c>
      <c r="C41" s="219">
        <v>4</v>
      </c>
      <c r="D41" s="220"/>
      <c r="E41" s="221" t="str">
        <f>IF(ISBLANK(D41),"-",$D$48/$D$45*D41)</f>
        <v>-</v>
      </c>
      <c r="F41" s="220"/>
      <c r="G41" s="222" t="str">
        <f>IF(ISBLANK(F41),"-",$D$48/$F$45*F41)</f>
        <v>-</v>
      </c>
      <c r="I41" s="223"/>
      <c r="L41" s="196"/>
      <c r="M41" s="574"/>
      <c r="N41" s="653"/>
    </row>
    <row r="42" spans="1:14" ht="25.2" x14ac:dyDescent="0.45">
      <c r="A42" s="202" t="s">
        <v>47</v>
      </c>
      <c r="B42" s="203">
        <v>1</v>
      </c>
      <c r="C42" s="224" t="s">
        <v>48</v>
      </c>
      <c r="D42" s="225">
        <f>AVERAGE(D38:D41)</f>
        <v>12911480</v>
      </c>
      <c r="E42" s="226">
        <f>AVERAGE(E38:E41)</f>
        <v>12517528.34783688</v>
      </c>
      <c r="F42" s="225">
        <f>AVERAGE(F38:F41)</f>
        <v>13401817.666666666</v>
      </c>
      <c r="G42" s="227">
        <f>AVERAGE(G38:G41)</f>
        <v>12346413.331335248</v>
      </c>
      <c r="H42" s="228"/>
    </row>
    <row r="43" spans="1:14" ht="25.2" x14ac:dyDescent="0.45">
      <c r="A43" s="202" t="s">
        <v>49</v>
      </c>
      <c r="B43" s="203">
        <v>1</v>
      </c>
      <c r="C43" s="229" t="s">
        <v>50</v>
      </c>
      <c r="D43" s="230">
        <v>15.66</v>
      </c>
      <c r="E43" s="218"/>
      <c r="F43" s="230">
        <v>16.48</v>
      </c>
      <c r="H43" s="228"/>
    </row>
    <row r="44" spans="1:14" ht="25.2" x14ac:dyDescent="0.45">
      <c r="A44" s="202" t="s">
        <v>51</v>
      </c>
      <c r="B44" s="203">
        <v>1</v>
      </c>
      <c r="C44" s="231" t="s">
        <v>52</v>
      </c>
      <c r="D44" s="232">
        <f>D43*$B$34</f>
        <v>15.66</v>
      </c>
      <c r="E44" s="233"/>
      <c r="F44" s="232">
        <f>F43*$B$34</f>
        <v>16.48</v>
      </c>
      <c r="H44" s="228"/>
    </row>
    <row r="45" spans="1:14" ht="18" x14ac:dyDescent="0.35">
      <c r="A45" s="202" t="s">
        <v>53</v>
      </c>
      <c r="B45" s="234">
        <f>(B44/B43)*(B42/B41)*(B40/B39)*(B38/B37)*B36</f>
        <v>250</v>
      </c>
      <c r="C45" s="231" t="s">
        <v>54</v>
      </c>
      <c r="D45" s="235">
        <f>D44*$B$30/100</f>
        <v>15.472079999999998</v>
      </c>
      <c r="E45" s="236"/>
      <c r="F45" s="235">
        <f>F44*$B$30/100</f>
        <v>16.282239999999998</v>
      </c>
      <c r="H45" s="228"/>
    </row>
    <row r="46" spans="1:14" ht="18" x14ac:dyDescent="0.35">
      <c r="A46" s="783" t="s">
        <v>55</v>
      </c>
      <c r="B46" s="784"/>
      <c r="C46" s="231" t="s">
        <v>56</v>
      </c>
      <c r="D46" s="237">
        <f>D45/$B$45</f>
        <v>6.188831999999999E-2</v>
      </c>
      <c r="E46" s="238"/>
      <c r="F46" s="239">
        <f>F45/$B$45</f>
        <v>6.5128959999999986E-2</v>
      </c>
      <c r="H46" s="228"/>
    </row>
    <row r="47" spans="1:14" ht="25.2" x14ac:dyDescent="0.45">
      <c r="A47" s="785"/>
      <c r="B47" s="786"/>
      <c r="C47" s="240" t="s">
        <v>57</v>
      </c>
      <c r="D47" s="241">
        <v>0.06</v>
      </c>
      <c r="E47" s="242"/>
      <c r="F47" s="238"/>
      <c r="H47" s="228"/>
    </row>
    <row r="48" spans="1:14" ht="18" x14ac:dyDescent="0.35">
      <c r="C48" s="243" t="s">
        <v>58</v>
      </c>
      <c r="D48" s="235">
        <f>D47*$B$45</f>
        <v>15</v>
      </c>
      <c r="F48" s="244"/>
      <c r="H48" s="228"/>
    </row>
    <row r="49" spans="1:10" ht="18" x14ac:dyDescent="0.35">
      <c r="C49" s="245" t="s">
        <v>59</v>
      </c>
      <c r="D49" s="246">
        <f>D48/B34</f>
        <v>15</v>
      </c>
      <c r="F49" s="244"/>
      <c r="H49" s="228"/>
    </row>
    <row r="50" spans="1:10" ht="18" x14ac:dyDescent="0.35">
      <c r="C50" s="200" t="s">
        <v>60</v>
      </c>
      <c r="D50" s="247">
        <f>AVERAGE(E38:E41,G38:G41)</f>
        <v>12431970.839586064</v>
      </c>
      <c r="F50" s="248"/>
      <c r="H50" s="228"/>
    </row>
    <row r="51" spans="1:10" ht="18" x14ac:dyDescent="0.35">
      <c r="C51" s="202" t="s">
        <v>61</v>
      </c>
      <c r="D51" s="249">
        <f>STDEV(E38:E41,G38:G41)/D50</f>
        <v>7.6640530417711929E-3</v>
      </c>
      <c r="F51" s="248"/>
      <c r="H51" s="228"/>
    </row>
    <row r="52" spans="1:10" ht="18" x14ac:dyDescent="0.35">
      <c r="C52" s="250" t="s">
        <v>3</v>
      </c>
      <c r="D52" s="251">
        <f>COUNT(E38:E41,G38:G41)</f>
        <v>6</v>
      </c>
      <c r="F52" s="248"/>
    </row>
    <row r="54" spans="1:10" ht="18" x14ac:dyDescent="0.35">
      <c r="A54" s="252" t="s">
        <v>0</v>
      </c>
      <c r="B54" s="253" t="s">
        <v>62</v>
      </c>
      <c r="H54" s="655"/>
    </row>
    <row r="55" spans="1:10" ht="18" x14ac:dyDescent="0.35">
      <c r="A55" s="178" t="s">
        <v>63</v>
      </c>
      <c r="B55" s="254" t="str">
        <f>B21</f>
        <v>Each film-coated tablet contains Efavirenz 600 mg, Lamivudine USP 300 mg, Tenofovir Disoproxil Fumarate 300mg equivalent to tenofovir disoproxil 245 mg</v>
      </c>
      <c r="G55" s="577"/>
      <c r="H55" s="656">
        <f>F70/D50*D47*B68*B69/D68/300</f>
        <v>0.95584806766333863</v>
      </c>
      <c r="J55" s="576"/>
    </row>
    <row r="56" spans="1:10" ht="25.2" x14ac:dyDescent="0.45">
      <c r="A56" s="255" t="s">
        <v>64</v>
      </c>
      <c r="B56" s="256">
        <v>300</v>
      </c>
      <c r="C56" s="178" t="str">
        <f>B20</f>
        <v>Efavirenz 600 mg, Lamivudine 300 mg and Tenofovir Disoproxil Fumarate 300 mg Tablets</v>
      </c>
      <c r="H56" s="257"/>
    </row>
    <row r="57" spans="1:10" ht="18" x14ac:dyDescent="0.35">
      <c r="A57" s="254" t="s">
        <v>138</v>
      </c>
      <c r="B57" s="343">
        <f>'Uniformity '!C44</f>
        <v>1891.6979999999999</v>
      </c>
      <c r="H57" s="257"/>
    </row>
    <row r="58" spans="1:10" ht="18" x14ac:dyDescent="0.35">
      <c r="H58" s="257"/>
    </row>
    <row r="59" spans="1:10" s="573" customFormat="1" ht="25.8" thickBot="1" x14ac:dyDescent="0.5">
      <c r="A59" s="200" t="s">
        <v>65</v>
      </c>
      <c r="B59" s="201">
        <v>200</v>
      </c>
      <c r="C59" s="178"/>
      <c r="D59" s="258" t="s">
        <v>66</v>
      </c>
      <c r="E59" s="259" t="s">
        <v>39</v>
      </c>
      <c r="F59" s="259" t="s">
        <v>40</v>
      </c>
      <c r="G59" s="259" t="s">
        <v>67</v>
      </c>
      <c r="H59" s="204" t="s">
        <v>68</v>
      </c>
      <c r="I59" s="2"/>
      <c r="J59" s="483"/>
    </row>
    <row r="60" spans="1:10" s="573" customFormat="1" ht="25.2" x14ac:dyDescent="0.45">
      <c r="A60" s="202" t="s">
        <v>69</v>
      </c>
      <c r="B60" s="203">
        <v>5</v>
      </c>
      <c r="C60" s="775" t="s">
        <v>70</v>
      </c>
      <c r="D60" s="778">
        <v>1889.27</v>
      </c>
      <c r="E60" s="260">
        <v>1</v>
      </c>
      <c r="F60" s="261">
        <v>11751035</v>
      </c>
      <c r="G60" s="344">
        <f>IF(ISBLANK(F60),"-",(F60/$D$50*$D$47*$B$68)*($B$57/$D$60))</f>
        <v>283.93254030517539</v>
      </c>
      <c r="H60" s="262">
        <f t="shared" ref="H60:H71" si="0">IF(ISBLANK(F60),"-",G60/$B$56)</f>
        <v>0.94644180101725128</v>
      </c>
      <c r="I60" s="2"/>
      <c r="J60" s="483"/>
    </row>
    <row r="61" spans="1:10" s="573" customFormat="1" ht="25.2" x14ac:dyDescent="0.45">
      <c r="A61" s="202" t="s">
        <v>71</v>
      </c>
      <c r="B61" s="203">
        <v>50</v>
      </c>
      <c r="C61" s="776"/>
      <c r="D61" s="779"/>
      <c r="E61" s="263">
        <v>2</v>
      </c>
      <c r="F61" s="215">
        <v>11805932</v>
      </c>
      <c r="G61" s="345">
        <f>IF(ISBLANK(F61),"-",(F61/$D$50*$D$47*$B$68)*($B$57/$D$60))</f>
        <v>285.25898045833071</v>
      </c>
      <c r="H61" s="264">
        <f t="shared" si="0"/>
        <v>0.95086326819443567</v>
      </c>
      <c r="I61" s="2"/>
      <c r="J61" s="483"/>
    </row>
    <row r="62" spans="1:10" s="573" customFormat="1" ht="25.2" x14ac:dyDescent="0.45">
      <c r="A62" s="202" t="s">
        <v>72</v>
      </c>
      <c r="B62" s="203">
        <v>10</v>
      </c>
      <c r="C62" s="776"/>
      <c r="D62" s="779"/>
      <c r="E62" s="263">
        <v>3</v>
      </c>
      <c r="F62" s="265">
        <v>11719165</v>
      </c>
      <c r="G62" s="345">
        <f>IF(ISBLANK(F62),"-",(F62/$D$50*$D$47*$B$68)*($B$57/$D$60))</f>
        <v>283.1624864282594</v>
      </c>
      <c r="H62" s="264">
        <f t="shared" si="0"/>
        <v>0.94387495476086469</v>
      </c>
      <c r="I62" s="2"/>
      <c r="J62" s="483"/>
    </row>
    <row r="63" spans="1:10" ht="25.8" thickBot="1" x14ac:dyDescent="0.5">
      <c r="A63" s="202" t="s">
        <v>73</v>
      </c>
      <c r="B63" s="203">
        <v>25</v>
      </c>
      <c r="C63" s="777"/>
      <c r="D63" s="780"/>
      <c r="E63" s="266">
        <v>4</v>
      </c>
      <c r="F63" s="267"/>
      <c r="G63" s="345" t="str">
        <f>IF(ISBLANK(F63),"-",(F63/$D$50*$D$47*$B$68)*($B$57/$D$60))</f>
        <v>-</v>
      </c>
      <c r="H63" s="264" t="str">
        <f t="shared" si="0"/>
        <v>-</v>
      </c>
    </row>
    <row r="64" spans="1:10" ht="25.2" x14ac:dyDescent="0.45">
      <c r="A64" s="202" t="s">
        <v>74</v>
      </c>
      <c r="B64" s="203">
        <v>1</v>
      </c>
      <c r="C64" s="775" t="s">
        <v>75</v>
      </c>
      <c r="D64" s="778">
        <v>1893.41</v>
      </c>
      <c r="E64" s="260">
        <v>1</v>
      </c>
      <c r="F64" s="261">
        <v>11895054</v>
      </c>
      <c r="G64" s="346">
        <f>IF(ISBLANK(F64),"-",(F64/$D$50*$D$47*$B$68)*($B$57/$D$64))</f>
        <v>286.78394068339975</v>
      </c>
      <c r="H64" s="268">
        <f t="shared" si="0"/>
        <v>0.95594646894466584</v>
      </c>
    </row>
    <row r="65" spans="1:12" ht="25.2" x14ac:dyDescent="0.45">
      <c r="A65" s="202" t="s">
        <v>76</v>
      </c>
      <c r="B65" s="203">
        <v>1</v>
      </c>
      <c r="C65" s="776"/>
      <c r="D65" s="779"/>
      <c r="E65" s="263">
        <v>2</v>
      </c>
      <c r="F65" s="215">
        <v>11872287</v>
      </c>
      <c r="G65" s="347">
        <f>IF(ISBLANK(F65),"-",(F65/$D$50*$D$47*$B$68)*($B$57/$D$64))</f>
        <v>286.23503943607972</v>
      </c>
      <c r="H65" s="269">
        <f t="shared" si="0"/>
        <v>0.95411679812026573</v>
      </c>
    </row>
    <row r="66" spans="1:12" ht="25.2" x14ac:dyDescent="0.45">
      <c r="A66" s="202" t="s">
        <v>77</v>
      </c>
      <c r="B66" s="203">
        <v>1</v>
      </c>
      <c r="C66" s="776"/>
      <c r="D66" s="779"/>
      <c r="E66" s="263">
        <v>3</v>
      </c>
      <c r="F66" s="215">
        <v>11864233</v>
      </c>
      <c r="G66" s="347">
        <f>IF(ISBLANK(F66),"-",(F66/$D$50*$D$47*$B$68)*($B$57/$D$64))</f>
        <v>286.04086143081264</v>
      </c>
      <c r="H66" s="269">
        <f t="shared" si="0"/>
        <v>0.95346953810270885</v>
      </c>
    </row>
    <row r="67" spans="1:12" ht="25.8" thickBot="1" x14ac:dyDescent="0.5">
      <c r="A67" s="202" t="s">
        <v>78</v>
      </c>
      <c r="B67" s="203">
        <v>1</v>
      </c>
      <c r="C67" s="777"/>
      <c r="D67" s="780"/>
      <c r="E67" s="266">
        <v>4</v>
      </c>
      <c r="F67" s="267"/>
      <c r="G67" s="348" t="str">
        <f>IF(ISBLANK(F67),"-",(F67/$D$50*$D$47*$B$68)*($B$57/$D$64))</f>
        <v>-</v>
      </c>
      <c r="H67" s="270" t="str">
        <f t="shared" si="0"/>
        <v>-</v>
      </c>
    </row>
    <row r="68" spans="1:12" ht="25.8" x14ac:dyDescent="0.5">
      <c r="A68" s="202" t="s">
        <v>79</v>
      </c>
      <c r="B68" s="271">
        <f>(B67/B66)*(B65/B64)*(B63/B62)*(B61/B60)*B59</f>
        <v>5000</v>
      </c>
      <c r="C68" s="775" t="s">
        <v>80</v>
      </c>
      <c r="D68" s="778">
        <v>1890.6</v>
      </c>
      <c r="E68" s="260">
        <v>1</v>
      </c>
      <c r="F68" s="261">
        <v>11890155</v>
      </c>
      <c r="G68" s="346">
        <f>IF(ISBLANK(F68),"-",(F68/$D$50*$D$47*$B$68)*($B$57/$D$68))</f>
        <v>287.09189979219536</v>
      </c>
      <c r="H68" s="264">
        <f t="shared" si="0"/>
        <v>0.95697299930731783</v>
      </c>
    </row>
    <row r="69" spans="1:12" ht="26.4" thickBot="1" x14ac:dyDescent="0.55000000000000004">
      <c r="A69" s="250" t="s">
        <v>81</v>
      </c>
      <c r="B69" s="272">
        <f>(D47*B68)/B56*B57</f>
        <v>1891.6979999999999</v>
      </c>
      <c r="C69" s="776"/>
      <c r="D69" s="779"/>
      <c r="E69" s="263">
        <v>2</v>
      </c>
      <c r="F69" s="215">
        <v>11885052</v>
      </c>
      <c r="G69" s="347">
        <f>IF(ISBLANK(F69),"-",(F69/$D$50*$D$47*$B$68)*($B$57/$D$68))</f>
        <v>286.96868609442271</v>
      </c>
      <c r="H69" s="264">
        <f t="shared" si="0"/>
        <v>0.95656228698140899</v>
      </c>
    </row>
    <row r="70" spans="1:12" ht="25.2" x14ac:dyDescent="0.45">
      <c r="A70" s="789" t="s">
        <v>55</v>
      </c>
      <c r="B70" s="790"/>
      <c r="C70" s="776"/>
      <c r="D70" s="779"/>
      <c r="E70" s="263">
        <v>3</v>
      </c>
      <c r="F70" s="215">
        <v>11876178</v>
      </c>
      <c r="G70" s="347">
        <f>IF(ISBLANK(F70),"-",(F70/$D$50*$D$47*$B$68)*($B$57/$D$68))</f>
        <v>286.75442029900154</v>
      </c>
      <c r="H70" s="264">
        <f t="shared" si="0"/>
        <v>0.95584806766333841</v>
      </c>
    </row>
    <row r="71" spans="1:12" ht="25.8" thickBot="1" x14ac:dyDescent="0.5">
      <c r="A71" s="791"/>
      <c r="B71" s="792"/>
      <c r="C71" s="788"/>
      <c r="D71" s="780"/>
      <c r="E71" s="266">
        <v>4</v>
      </c>
      <c r="F71" s="267"/>
      <c r="G71" s="348" t="str">
        <f>IF(ISBLANK(F71),"-",(F71/$D$50*$D$47*$B$68)*($B$57/$D$68))</f>
        <v>-</v>
      </c>
      <c r="H71" s="273" t="str">
        <f t="shared" si="0"/>
        <v>-</v>
      </c>
    </row>
    <row r="72" spans="1:12" ht="25.2" x14ac:dyDescent="0.45">
      <c r="A72" s="274"/>
      <c r="B72" s="274"/>
      <c r="C72" s="274"/>
      <c r="D72" s="274"/>
      <c r="E72" s="274"/>
      <c r="F72" s="276" t="s">
        <v>48</v>
      </c>
      <c r="G72" s="353">
        <f>AVERAGE(G60:G71)</f>
        <v>285.80320610307524</v>
      </c>
      <c r="H72" s="277">
        <f>AVERAGE(H60:H71)</f>
        <v>0.95267735367691742</v>
      </c>
    </row>
    <row r="73" spans="1:12" ht="25.2" x14ac:dyDescent="0.45">
      <c r="C73" s="274"/>
      <c r="D73" s="274"/>
      <c r="E73" s="274"/>
      <c r="F73" s="278" t="s">
        <v>61</v>
      </c>
      <c r="G73" s="349">
        <f>STDEV(G60:G71)/G72</f>
        <v>4.9323565435259748E-3</v>
      </c>
      <c r="H73" s="455">
        <f>STDEV(H60:H71)/H72</f>
        <v>4.9323565435259627E-3</v>
      </c>
    </row>
    <row r="74" spans="1:12" ht="25.2" x14ac:dyDescent="0.45">
      <c r="A74" s="274"/>
      <c r="B74" s="274"/>
      <c r="C74" s="275"/>
      <c r="D74" s="275"/>
      <c r="E74" s="279"/>
      <c r="F74" s="280" t="s">
        <v>3</v>
      </c>
      <c r="G74" s="281">
        <f>COUNT(G60:G71)</f>
        <v>9</v>
      </c>
      <c r="H74" s="281">
        <f>COUNT(H60:H71)</f>
        <v>9</v>
      </c>
    </row>
    <row r="76" spans="1:12" ht="25.2" x14ac:dyDescent="0.45">
      <c r="A76" s="187" t="s">
        <v>82</v>
      </c>
      <c r="B76" s="282" t="s">
        <v>83</v>
      </c>
      <c r="C76" s="793" t="str">
        <f>B26</f>
        <v>TENOFOVIR DISOPROXIL FUMARATE</v>
      </c>
      <c r="D76" s="793"/>
      <c r="E76" s="283" t="s">
        <v>84</v>
      </c>
      <c r="F76" s="283"/>
      <c r="G76" s="284">
        <f>H72</f>
        <v>0.95267735367691742</v>
      </c>
      <c r="H76" s="285"/>
    </row>
    <row r="77" spans="1:12" ht="25.2" x14ac:dyDescent="0.45">
      <c r="A77" s="516"/>
      <c r="B77" s="472"/>
      <c r="C77" s="701"/>
      <c r="D77" s="701"/>
      <c r="E77" s="461"/>
      <c r="F77" s="461"/>
      <c r="G77" s="462"/>
      <c r="H77" s="701"/>
      <c r="I77" s="483"/>
      <c r="J77" s="483"/>
      <c r="K77" s="483"/>
      <c r="L77" s="483"/>
    </row>
    <row r="78" spans="1:12" ht="18" x14ac:dyDescent="0.35">
      <c r="A78" s="186" t="s">
        <v>85</v>
      </c>
      <c r="B78" s="186" t="s">
        <v>86</v>
      </c>
    </row>
    <row r="79" spans="1:12" ht="18" x14ac:dyDescent="0.35">
      <c r="A79" s="186"/>
      <c r="B79" s="186"/>
    </row>
    <row r="80" spans="1:12" ht="25.2" x14ac:dyDescent="0.45">
      <c r="A80" s="187" t="s">
        <v>1</v>
      </c>
      <c r="B80" s="803" t="str">
        <f>B26</f>
        <v>TENOFOVIR DISOPROXIL FUMARATE</v>
      </c>
      <c r="C80" s="803"/>
    </row>
    <row r="81" spans="1:12" ht="25.2" x14ac:dyDescent="0.45">
      <c r="A81" s="188" t="s">
        <v>25</v>
      </c>
      <c r="B81" s="671" t="str">
        <f>B27</f>
        <v>T11-6</v>
      </c>
      <c r="C81" s="483"/>
    </row>
    <row r="82" spans="1:12" ht="25.8" thickBot="1" x14ac:dyDescent="0.5">
      <c r="A82" s="188" t="s">
        <v>2</v>
      </c>
      <c r="B82" s="286">
        <f>B28</f>
        <v>98.8</v>
      </c>
      <c r="H82" s="483"/>
    </row>
    <row r="83" spans="1:12" s="573" customFormat="1" ht="25.8" x14ac:dyDescent="0.5">
      <c r="A83" s="188" t="s">
        <v>26</v>
      </c>
      <c r="B83" s="190">
        <v>0</v>
      </c>
      <c r="C83" s="769" t="s">
        <v>27</v>
      </c>
      <c r="D83" s="770"/>
      <c r="E83" s="770"/>
      <c r="F83" s="770"/>
      <c r="G83" s="771"/>
      <c r="H83" s="483"/>
      <c r="I83" s="191"/>
      <c r="J83" s="191"/>
      <c r="K83" s="191"/>
      <c r="L83" s="191"/>
    </row>
    <row r="84" spans="1:12" s="573" customFormat="1" ht="18" x14ac:dyDescent="0.35">
      <c r="A84" s="188" t="s">
        <v>28</v>
      </c>
      <c r="B84" s="192">
        <f>B82-B83</f>
        <v>98.8</v>
      </c>
      <c r="C84" s="193"/>
      <c r="D84" s="193"/>
      <c r="E84" s="193"/>
      <c r="F84" s="193"/>
      <c r="G84" s="194"/>
      <c r="H84" s="483"/>
      <c r="I84" s="191"/>
      <c r="J84" s="191"/>
      <c r="K84" s="191"/>
      <c r="L84" s="191"/>
    </row>
    <row r="85" spans="1:12" s="573" customFormat="1" ht="25.2" x14ac:dyDescent="0.45">
      <c r="A85" s="188" t="s">
        <v>29</v>
      </c>
      <c r="B85" s="195">
        <v>1</v>
      </c>
      <c r="C85" s="772" t="s">
        <v>87</v>
      </c>
      <c r="D85" s="773"/>
      <c r="E85" s="773"/>
      <c r="F85" s="773"/>
      <c r="G85" s="773"/>
      <c r="H85" s="774"/>
      <c r="I85" s="191"/>
      <c r="J85" s="191"/>
      <c r="K85" s="191"/>
      <c r="L85" s="191"/>
    </row>
    <row r="86" spans="1:12" s="573" customFormat="1" ht="25.2" x14ac:dyDescent="0.45">
      <c r="A86" s="188" t="s">
        <v>31</v>
      </c>
      <c r="B86" s="195">
        <v>1</v>
      </c>
      <c r="C86" s="772" t="s">
        <v>88</v>
      </c>
      <c r="D86" s="773"/>
      <c r="E86" s="773"/>
      <c r="F86" s="773"/>
      <c r="G86" s="773"/>
      <c r="H86" s="774"/>
      <c r="I86" s="191"/>
      <c r="J86" s="191"/>
      <c r="K86" s="191"/>
      <c r="L86" s="191"/>
    </row>
    <row r="87" spans="1:12" s="573" customFormat="1" ht="18" x14ac:dyDescent="0.35">
      <c r="A87" s="188"/>
      <c r="B87" s="197"/>
      <c r="C87" s="198"/>
      <c r="D87" s="198"/>
      <c r="E87" s="198"/>
      <c r="F87" s="198"/>
      <c r="G87" s="198"/>
      <c r="H87" s="198"/>
      <c r="I87" s="191"/>
      <c r="J87" s="191"/>
      <c r="K87" s="191"/>
      <c r="L87" s="191"/>
    </row>
    <row r="88" spans="1:12" s="573" customFormat="1" ht="18" x14ac:dyDescent="0.35">
      <c r="A88" s="188" t="s">
        <v>33</v>
      </c>
      <c r="B88" s="199">
        <f>B85/B86</f>
        <v>1</v>
      </c>
      <c r="C88" s="178" t="s">
        <v>34</v>
      </c>
      <c r="D88" s="178"/>
      <c r="E88" s="178"/>
      <c r="F88" s="178"/>
      <c r="G88" s="178"/>
      <c r="H88" s="370"/>
      <c r="I88" s="370"/>
      <c r="J88" s="191"/>
      <c r="K88" s="191"/>
      <c r="L88" s="191"/>
    </row>
    <row r="89" spans="1:12" ht="18" x14ac:dyDescent="0.35">
      <c r="A89" s="186"/>
      <c r="B89" s="186"/>
    </row>
    <row r="90" spans="1:12" ht="25.2" x14ac:dyDescent="0.45">
      <c r="A90" s="200" t="s">
        <v>35</v>
      </c>
      <c r="B90" s="201">
        <v>25</v>
      </c>
      <c r="D90" s="287" t="s">
        <v>36</v>
      </c>
      <c r="E90" s="288"/>
      <c r="F90" s="794" t="s">
        <v>37</v>
      </c>
      <c r="G90" s="796"/>
    </row>
    <row r="91" spans="1:12" ht="25.2" x14ac:dyDescent="0.45">
      <c r="A91" s="202" t="s">
        <v>38</v>
      </c>
      <c r="B91" s="203">
        <v>10</v>
      </c>
      <c r="C91" s="289" t="s">
        <v>39</v>
      </c>
      <c r="D91" s="205" t="s">
        <v>40</v>
      </c>
      <c r="E91" s="206" t="s">
        <v>41</v>
      </c>
      <c r="F91" s="205" t="s">
        <v>40</v>
      </c>
      <c r="G91" s="290" t="s">
        <v>41</v>
      </c>
      <c r="I91" s="208" t="s">
        <v>42</v>
      </c>
    </row>
    <row r="92" spans="1:12" ht="25.2" x14ac:dyDescent="0.45">
      <c r="A92" s="202" t="s">
        <v>43</v>
      </c>
      <c r="B92" s="203">
        <v>20</v>
      </c>
      <c r="C92" s="291">
        <v>1</v>
      </c>
      <c r="D92" s="210">
        <v>65776679</v>
      </c>
      <c r="E92" s="211">
        <f>IF(ISBLANK(D92),"-",$D$102/$D$99*D92)</f>
        <v>60596710.587732412</v>
      </c>
      <c r="F92" s="210">
        <v>63491314</v>
      </c>
      <c r="G92" s="212">
        <f>IF(ISBLANK(F92),"-",$D$102/$F$99*F92)</f>
        <v>61554083.87236882</v>
      </c>
      <c r="I92" s="213"/>
    </row>
    <row r="93" spans="1:12" ht="25.2" x14ac:dyDescent="0.45">
      <c r="A93" s="202" t="s">
        <v>44</v>
      </c>
      <c r="B93" s="203">
        <v>1</v>
      </c>
      <c r="C93" s="275">
        <v>2</v>
      </c>
      <c r="D93" s="215">
        <v>65882628</v>
      </c>
      <c r="E93" s="216">
        <f>IF(ISBLANK(D93),"-",$D$102/$D$99*D93)</f>
        <v>60694316.015486822</v>
      </c>
      <c r="F93" s="215">
        <v>62322385</v>
      </c>
      <c r="G93" s="217">
        <f>IF(ISBLANK(F93),"-",$D$102/$F$99*F93)</f>
        <v>60420820.923883542</v>
      </c>
      <c r="I93" s="787">
        <f>ABS((F97/D97*D96)-F96)/D96</f>
        <v>7.0255305249610203E-3</v>
      </c>
    </row>
    <row r="94" spans="1:12" ht="25.2" x14ac:dyDescent="0.45">
      <c r="A94" s="202" t="s">
        <v>45</v>
      </c>
      <c r="B94" s="203">
        <v>1</v>
      </c>
      <c r="C94" s="275">
        <v>3</v>
      </c>
      <c r="D94" s="215">
        <v>65759914</v>
      </c>
      <c r="E94" s="216">
        <f>IF(ISBLANK(D94),"-",$D$102/$D$99*D94)</f>
        <v>60581265.845485643</v>
      </c>
      <c r="F94" s="215">
        <v>63169453</v>
      </c>
      <c r="G94" s="217">
        <f>IF(ISBLANK(F94),"-",$D$102/$F$99*F94)</f>
        <v>61242043.409806572</v>
      </c>
      <c r="I94" s="787"/>
    </row>
    <row r="95" spans="1:12" ht="25.2" x14ac:dyDescent="0.45">
      <c r="A95" s="202" t="s">
        <v>46</v>
      </c>
      <c r="B95" s="203">
        <v>1</v>
      </c>
      <c r="C95" s="292">
        <v>4</v>
      </c>
      <c r="D95" s="220"/>
      <c r="E95" s="221" t="str">
        <f>IF(ISBLANK(D95),"-",$D$102/$D$99*D95)</f>
        <v>-</v>
      </c>
      <c r="F95" s="293"/>
      <c r="G95" s="222" t="str">
        <f>IF(ISBLANK(F95),"-",$D$102/$F$99*F95)</f>
        <v>-</v>
      </c>
      <c r="I95" s="223"/>
    </row>
    <row r="96" spans="1:12" ht="25.2" x14ac:dyDescent="0.45">
      <c r="A96" s="202" t="s">
        <v>47</v>
      </c>
      <c r="B96" s="203">
        <v>1</v>
      </c>
      <c r="C96" s="294" t="s">
        <v>48</v>
      </c>
      <c r="D96" s="295">
        <f>AVERAGE(D92:D95)</f>
        <v>65806407</v>
      </c>
      <c r="E96" s="226">
        <f>AVERAGE(E92:E95)</f>
        <v>60624097.482901633</v>
      </c>
      <c r="F96" s="296">
        <f>AVERAGE(F92:F95)</f>
        <v>62994384</v>
      </c>
      <c r="G96" s="297">
        <f>AVERAGE(G92:G95)</f>
        <v>61072316.068686314</v>
      </c>
    </row>
    <row r="97" spans="1:10" ht="25.2" x14ac:dyDescent="0.45">
      <c r="A97" s="202" t="s">
        <v>49</v>
      </c>
      <c r="B97" s="189">
        <v>1</v>
      </c>
      <c r="C97" s="298" t="s">
        <v>89</v>
      </c>
      <c r="D97" s="299">
        <v>16.48</v>
      </c>
      <c r="E97" s="218"/>
      <c r="F97" s="230">
        <f>15.66</f>
        <v>15.66</v>
      </c>
    </row>
    <row r="98" spans="1:10" ht="25.2" x14ac:dyDescent="0.45">
      <c r="A98" s="202" t="s">
        <v>51</v>
      </c>
      <c r="B98" s="189">
        <v>1</v>
      </c>
      <c r="C98" s="300" t="s">
        <v>90</v>
      </c>
      <c r="D98" s="301">
        <f>D97*$B$88</f>
        <v>16.48</v>
      </c>
      <c r="E98" s="233"/>
      <c r="F98" s="232">
        <f>F97*$B$88</f>
        <v>15.66</v>
      </c>
    </row>
    <row r="99" spans="1:10" ht="18" x14ac:dyDescent="0.35">
      <c r="A99" s="202" t="s">
        <v>53</v>
      </c>
      <c r="B99" s="302">
        <f>(B98/B97)*(B96/B95)*(B94/B93)*(B92/B91)*B90</f>
        <v>50</v>
      </c>
      <c r="C99" s="300" t="s">
        <v>91</v>
      </c>
      <c r="D99" s="303">
        <f>D98*$B$84/100</f>
        <v>16.282239999999998</v>
      </c>
      <c r="E99" s="236"/>
      <c r="F99" s="235">
        <f>F98*$B$84/100</f>
        <v>15.472079999999998</v>
      </c>
    </row>
    <row r="100" spans="1:10" ht="18" x14ac:dyDescent="0.35">
      <c r="A100" s="783" t="s">
        <v>55</v>
      </c>
      <c r="B100" s="798"/>
      <c r="C100" s="300" t="s">
        <v>92</v>
      </c>
      <c r="D100" s="304">
        <f>D99/$B$99</f>
        <v>0.32564479999999996</v>
      </c>
      <c r="E100" s="236"/>
      <c r="F100" s="239">
        <f>F99/$B$99</f>
        <v>0.30944159999999998</v>
      </c>
      <c r="G100" s="305"/>
      <c r="H100" s="228"/>
    </row>
    <row r="101" spans="1:10" ht="18" x14ac:dyDescent="0.35">
      <c r="A101" s="785"/>
      <c r="B101" s="799"/>
      <c r="C101" s="300" t="s">
        <v>57</v>
      </c>
      <c r="D101" s="306">
        <f>$B$56/$B$117</f>
        <v>0.3</v>
      </c>
      <c r="F101" s="244"/>
      <c r="G101" s="307"/>
      <c r="H101" s="228"/>
    </row>
    <row r="102" spans="1:10" ht="18" x14ac:dyDescent="0.35">
      <c r="C102" s="300" t="s">
        <v>58</v>
      </c>
      <c r="D102" s="301">
        <f>D101*$B$99</f>
        <v>15</v>
      </c>
      <c r="F102" s="244"/>
      <c r="G102" s="305"/>
      <c r="H102" s="228"/>
    </row>
    <row r="103" spans="1:10" ht="18" x14ac:dyDescent="0.35">
      <c r="C103" s="308" t="s">
        <v>59</v>
      </c>
      <c r="D103" s="309">
        <f>D102/B34</f>
        <v>15</v>
      </c>
      <c r="F103" s="248"/>
      <c r="G103" s="305"/>
      <c r="H103" s="228"/>
      <c r="J103" s="310"/>
    </row>
    <row r="104" spans="1:10" ht="18" x14ac:dyDescent="0.35">
      <c r="C104" s="311" t="s">
        <v>93</v>
      </c>
      <c r="D104" s="312">
        <f>AVERAGE(E92:E95,G92:G95)</f>
        <v>60848206.77579397</v>
      </c>
      <c r="F104" s="248"/>
      <c r="G104" s="313"/>
      <c r="H104" s="228"/>
      <c r="J104" s="314"/>
    </row>
    <row r="105" spans="1:10" ht="18" x14ac:dyDescent="0.35">
      <c r="C105" s="278" t="s">
        <v>61</v>
      </c>
      <c r="D105" s="315">
        <f>STDEV(E92:E95,G92:G95)/D104</f>
        <v>7.328382935029876E-3</v>
      </c>
      <c r="F105" s="248"/>
      <c r="G105" s="305"/>
      <c r="H105" s="228"/>
      <c r="J105" s="314"/>
    </row>
    <row r="106" spans="1:10" ht="18" x14ac:dyDescent="0.35">
      <c r="C106" s="280" t="s">
        <v>3</v>
      </c>
      <c r="D106" s="316">
        <f>COUNT(E92:E95,G92:G95)</f>
        <v>6</v>
      </c>
      <c r="F106" s="248"/>
      <c r="G106" s="305"/>
      <c r="H106" s="228"/>
      <c r="J106" s="314"/>
    </row>
    <row r="107" spans="1:10" ht="18" x14ac:dyDescent="0.35">
      <c r="A107" s="252"/>
      <c r="B107" s="252"/>
      <c r="C107" s="252"/>
      <c r="D107" s="252"/>
      <c r="E107" s="252"/>
    </row>
    <row r="108" spans="1:10" ht="25.2" x14ac:dyDescent="0.45">
      <c r="A108" s="200" t="s">
        <v>94</v>
      </c>
      <c r="B108" s="201">
        <v>1000</v>
      </c>
      <c r="C108" s="317" t="s">
        <v>121</v>
      </c>
      <c r="D108" s="318" t="s">
        <v>40</v>
      </c>
      <c r="E108" s="319" t="s">
        <v>95</v>
      </c>
      <c r="F108" s="320" t="s">
        <v>96</v>
      </c>
    </row>
    <row r="109" spans="1:10" ht="25.2" x14ac:dyDescent="0.45">
      <c r="A109" s="202" t="s">
        <v>97</v>
      </c>
      <c r="B109" s="203">
        <v>1</v>
      </c>
      <c r="C109" s="321">
        <v>1</v>
      </c>
      <c r="D109" s="322">
        <v>44599515</v>
      </c>
      <c r="E109" s="350">
        <f t="shared" ref="E109:E114" si="1">IF(ISBLANK(D109),"-",D109/$D$104*$D$101*$B$117)</f>
        <v>219.88905193706776</v>
      </c>
      <c r="F109" s="323">
        <f t="shared" ref="F109:F114" si="2">IF(ISBLANK(D109), "-", E109/$B$56)</f>
        <v>0.73296350645689257</v>
      </c>
    </row>
    <row r="110" spans="1:10" ht="25.2" x14ac:dyDescent="0.45">
      <c r="A110" s="202" t="s">
        <v>71</v>
      </c>
      <c r="B110" s="203">
        <v>1</v>
      </c>
      <c r="C110" s="321">
        <v>2</v>
      </c>
      <c r="D110" s="322">
        <v>58825399</v>
      </c>
      <c r="E110" s="351">
        <f t="shared" si="1"/>
        <v>290.02694795962992</v>
      </c>
      <c r="F110" s="324">
        <f t="shared" si="2"/>
        <v>0.96675649319876644</v>
      </c>
    </row>
    <row r="111" spans="1:10" ht="25.2" x14ac:dyDescent="0.45">
      <c r="A111" s="202" t="s">
        <v>72</v>
      </c>
      <c r="B111" s="203">
        <v>1</v>
      </c>
      <c r="C111" s="321">
        <v>3</v>
      </c>
      <c r="D111" s="322">
        <v>54408378</v>
      </c>
      <c r="E111" s="351">
        <f t="shared" si="1"/>
        <v>268.24970307084317</v>
      </c>
      <c r="F111" s="324">
        <f t="shared" si="2"/>
        <v>0.89416567690281057</v>
      </c>
    </row>
    <row r="112" spans="1:10" ht="25.2" x14ac:dyDescent="0.45">
      <c r="A112" s="202" t="s">
        <v>73</v>
      </c>
      <c r="B112" s="203">
        <v>1</v>
      </c>
      <c r="C112" s="321">
        <v>4</v>
      </c>
      <c r="D112" s="322">
        <v>58491003</v>
      </c>
      <c r="E112" s="351">
        <f t="shared" si="1"/>
        <v>288.37827488747774</v>
      </c>
      <c r="F112" s="324">
        <f t="shared" si="2"/>
        <v>0.96126091629159249</v>
      </c>
    </row>
    <row r="113" spans="1:12" ht="25.2" x14ac:dyDescent="0.45">
      <c r="A113" s="202" t="s">
        <v>74</v>
      </c>
      <c r="B113" s="203">
        <v>1</v>
      </c>
      <c r="C113" s="321">
        <v>5</v>
      </c>
      <c r="D113" s="322">
        <v>57949180</v>
      </c>
      <c r="E113" s="351">
        <f t="shared" si="1"/>
        <v>285.70692418360358</v>
      </c>
      <c r="F113" s="324">
        <f t="shared" si="2"/>
        <v>0.9523564139453452</v>
      </c>
    </row>
    <row r="114" spans="1:12" ht="25.2" x14ac:dyDescent="0.45">
      <c r="A114" s="202" t="s">
        <v>76</v>
      </c>
      <c r="B114" s="203">
        <v>1</v>
      </c>
      <c r="C114" s="325">
        <v>6</v>
      </c>
      <c r="D114" s="326">
        <v>55109167</v>
      </c>
      <c r="E114" s="352">
        <f t="shared" si="1"/>
        <v>271.70480406954067</v>
      </c>
      <c r="F114" s="327">
        <f t="shared" si="2"/>
        <v>0.90568268023180221</v>
      </c>
    </row>
    <row r="115" spans="1:12" ht="25.2" x14ac:dyDescent="0.45">
      <c r="A115" s="202" t="s">
        <v>77</v>
      </c>
      <c r="B115" s="203">
        <v>1</v>
      </c>
      <c r="C115" s="321"/>
      <c r="D115" s="275"/>
      <c r="E115" s="177"/>
      <c r="F115" s="328"/>
    </row>
    <row r="116" spans="1:12" ht="25.2" x14ac:dyDescent="0.45">
      <c r="A116" s="202" t="s">
        <v>78</v>
      </c>
      <c r="B116" s="203">
        <v>1</v>
      </c>
      <c r="C116" s="321"/>
      <c r="D116" s="329" t="s">
        <v>48</v>
      </c>
      <c r="E116" s="354">
        <f>AVERAGE(E109:E114)</f>
        <v>270.6592843513605</v>
      </c>
      <c r="F116" s="330">
        <f>AVERAGE(F109:F114)</f>
        <v>0.90219761450453495</v>
      </c>
    </row>
    <row r="117" spans="1:12" ht="25.2" x14ac:dyDescent="0.45">
      <c r="A117" s="202" t="s">
        <v>79</v>
      </c>
      <c r="B117" s="234">
        <f>(B116/B115)*(B114/B113)*(B112/B111)*(B110/B109)*B108</f>
        <v>1000</v>
      </c>
      <c r="C117" s="331"/>
      <c r="D117" s="691" t="s">
        <v>61</v>
      </c>
      <c r="E117" s="332">
        <f>STDEV(E109:E114)/E116</f>
        <v>9.7752324720102271E-2</v>
      </c>
      <c r="F117" s="510">
        <f>STDEV(F109:F114)/F116</f>
        <v>9.7752324720102285E-2</v>
      </c>
      <c r="I117" s="177"/>
    </row>
    <row r="118" spans="1:12" ht="25.2" x14ac:dyDescent="0.45">
      <c r="A118" s="783" t="s">
        <v>55</v>
      </c>
      <c r="B118" s="784"/>
      <c r="C118" s="333"/>
      <c r="D118" s="692" t="s">
        <v>3</v>
      </c>
      <c r="E118" s="334">
        <f>COUNT(E109:E114)</f>
        <v>6</v>
      </c>
      <c r="F118" s="334">
        <f>COUNT(F109:F114)</f>
        <v>6</v>
      </c>
      <c r="I118" s="177"/>
      <c r="J118" s="314"/>
    </row>
    <row r="119" spans="1:12" ht="18" x14ac:dyDescent="0.35">
      <c r="A119" s="785"/>
      <c r="B119" s="786"/>
      <c r="C119" s="177"/>
      <c r="D119" s="177"/>
      <c r="E119" s="177"/>
      <c r="F119" s="275"/>
      <c r="G119" s="177"/>
      <c r="H119" s="177"/>
      <c r="I119" s="177"/>
    </row>
    <row r="120" spans="1:12" ht="18" x14ac:dyDescent="0.35">
      <c r="A120" s="341"/>
      <c r="B120" s="198"/>
      <c r="C120" s="177"/>
      <c r="D120" s="177"/>
      <c r="E120" s="177"/>
      <c r="F120" s="275"/>
      <c r="G120" s="177"/>
      <c r="H120" s="177"/>
      <c r="I120" s="177"/>
    </row>
    <row r="121" spans="1:12" ht="25.2" x14ac:dyDescent="0.45">
      <c r="A121" s="187" t="s">
        <v>82</v>
      </c>
      <c r="B121" s="282" t="s">
        <v>98</v>
      </c>
      <c r="C121" s="793" t="str">
        <f>B80</f>
        <v>TENOFOVIR DISOPROXIL FUMARATE</v>
      </c>
      <c r="D121" s="793"/>
      <c r="E121" s="283" t="s">
        <v>99</v>
      </c>
      <c r="F121" s="283"/>
      <c r="G121" s="284">
        <f>F116</f>
        <v>0.90219761450453495</v>
      </c>
      <c r="H121" s="177"/>
      <c r="I121" s="177"/>
    </row>
    <row r="122" spans="1:12" ht="18" x14ac:dyDescent="0.35">
      <c r="A122" s="719"/>
      <c r="B122" s="719"/>
      <c r="C122" s="653"/>
      <c r="D122" s="653"/>
      <c r="E122" s="653"/>
      <c r="F122" s="653"/>
      <c r="G122" s="653"/>
      <c r="H122" s="653"/>
      <c r="I122" s="577"/>
      <c r="J122" s="577"/>
      <c r="K122" s="577"/>
      <c r="L122" s="577"/>
    </row>
    <row r="123" spans="1:12" ht="18" x14ac:dyDescent="0.35">
      <c r="A123" s="720" t="s">
        <v>145</v>
      </c>
      <c r="B123" s="719"/>
      <c r="C123" s="653"/>
      <c r="D123" s="653"/>
      <c r="E123" s="653"/>
      <c r="F123" s="653"/>
      <c r="G123" s="653"/>
      <c r="H123" s="653"/>
      <c r="I123" s="577"/>
      <c r="J123" s="577"/>
      <c r="K123" s="577"/>
      <c r="L123" s="577"/>
    </row>
    <row r="124" spans="1:12" ht="18.600000000000001" thickBot="1" x14ac:dyDescent="0.4">
      <c r="A124" s="719"/>
      <c r="B124" s="719"/>
      <c r="C124" s="653"/>
      <c r="D124" s="653"/>
      <c r="E124" s="653"/>
      <c r="F124" s="653"/>
      <c r="G124" s="653"/>
      <c r="H124" s="653"/>
      <c r="I124" s="483"/>
      <c r="J124" s="483"/>
      <c r="K124" s="483"/>
      <c r="L124" s="483"/>
    </row>
    <row r="125" spans="1:12" ht="25.8" thickBot="1" x14ac:dyDescent="0.5">
      <c r="A125" s="378" t="s">
        <v>35</v>
      </c>
      <c r="B125" s="379">
        <v>25</v>
      </c>
      <c r="C125" s="483"/>
      <c r="D125" s="702" t="s">
        <v>36</v>
      </c>
      <c r="E125" s="703"/>
      <c r="F125" s="800" t="s">
        <v>37</v>
      </c>
      <c r="G125" s="801"/>
      <c r="H125" s="653"/>
      <c r="I125" s="483"/>
      <c r="J125" s="483"/>
      <c r="K125" s="483"/>
      <c r="L125" s="483"/>
    </row>
    <row r="126" spans="1:12" ht="25.2" x14ac:dyDescent="0.45">
      <c r="A126" s="380" t="s">
        <v>38</v>
      </c>
      <c r="B126" s="381">
        <v>10</v>
      </c>
      <c r="C126" s="704" t="s">
        <v>39</v>
      </c>
      <c r="D126" s="383" t="s">
        <v>40</v>
      </c>
      <c r="E126" s="384" t="s">
        <v>41</v>
      </c>
      <c r="F126" s="661" t="s">
        <v>40</v>
      </c>
      <c r="G126" s="724" t="s">
        <v>41</v>
      </c>
      <c r="H126" s="653"/>
      <c r="I126" s="483"/>
      <c r="J126" s="483"/>
      <c r="K126" s="483"/>
      <c r="L126" s="483"/>
    </row>
    <row r="127" spans="1:12" ht="25.2" x14ac:dyDescent="0.45">
      <c r="A127" s="380" t="s">
        <v>43</v>
      </c>
      <c r="B127" s="381">
        <v>20</v>
      </c>
      <c r="C127" s="469">
        <v>1</v>
      </c>
      <c r="D127" s="388">
        <v>59453951</v>
      </c>
      <c r="E127" s="721">
        <f>IF(ISBLANK(D127),"-",$D$137/$D$134*D127)</f>
        <v>60702149.057009615</v>
      </c>
      <c r="F127" s="663">
        <v>67234151</v>
      </c>
      <c r="G127" s="725">
        <f>IF(ISBLANK(F127),"-",$D$137/$F$134*F127)</f>
        <v>61306991.10041216</v>
      </c>
      <c r="H127" s="653"/>
      <c r="I127" s="483"/>
      <c r="J127" s="483"/>
      <c r="K127" s="483"/>
      <c r="L127" s="483"/>
    </row>
    <row r="128" spans="1:12" ht="25.2" x14ac:dyDescent="0.45">
      <c r="A128" s="380" t="s">
        <v>44</v>
      </c>
      <c r="B128" s="381">
        <v>1</v>
      </c>
      <c r="C128" s="480">
        <v>2</v>
      </c>
      <c r="D128" s="393">
        <v>59329172</v>
      </c>
      <c r="E128" s="722">
        <f t="shared" ref="E128:E130" si="3">IF(ISBLANK(D128),"-",$D$137/$D$134*D128)</f>
        <v>60574750.400910467</v>
      </c>
      <c r="F128" s="665">
        <v>66687044</v>
      </c>
      <c r="G128" s="726">
        <f t="shared" ref="G128:G130" si="4">IF(ISBLANK(F128),"-",$D$137/$F$134*F128)</f>
        <v>60808115.402852252</v>
      </c>
      <c r="H128" s="653"/>
      <c r="I128" s="483"/>
      <c r="J128" s="483"/>
      <c r="K128" s="483"/>
      <c r="L128" s="483"/>
    </row>
    <row r="129" spans="1:12" ht="25.2" x14ac:dyDescent="0.45">
      <c r="A129" s="380" t="s">
        <v>45</v>
      </c>
      <c r="B129" s="381">
        <v>1</v>
      </c>
      <c r="C129" s="480">
        <v>3</v>
      </c>
      <c r="D129" s="393">
        <v>60200461</v>
      </c>
      <c r="E129" s="722">
        <f t="shared" si="3"/>
        <v>61464331.561794676</v>
      </c>
      <c r="F129" s="665">
        <v>67215688</v>
      </c>
      <c r="G129" s="726">
        <f t="shared" si="4"/>
        <v>61290155.742787331</v>
      </c>
      <c r="H129" s="653"/>
      <c r="I129" s="483"/>
      <c r="J129" s="483"/>
      <c r="K129" s="483"/>
      <c r="L129" s="483"/>
    </row>
    <row r="130" spans="1:12" ht="25.2" x14ac:dyDescent="0.45">
      <c r="A130" s="380" t="s">
        <v>46</v>
      </c>
      <c r="B130" s="381">
        <v>1</v>
      </c>
      <c r="C130" s="470">
        <v>4</v>
      </c>
      <c r="D130" s="398"/>
      <c r="E130" s="723" t="str">
        <f t="shared" si="3"/>
        <v>-</v>
      </c>
      <c r="F130" s="727"/>
      <c r="G130" s="728" t="str">
        <f t="shared" si="4"/>
        <v>-</v>
      </c>
      <c r="H130" s="653"/>
      <c r="I130" s="483"/>
      <c r="J130" s="483"/>
      <c r="K130" s="483"/>
      <c r="L130" s="483"/>
    </row>
    <row r="131" spans="1:12" ht="25.8" thickBot="1" x14ac:dyDescent="0.5">
      <c r="A131" s="380" t="s">
        <v>47</v>
      </c>
      <c r="B131" s="381">
        <v>1</v>
      </c>
      <c r="C131" s="472" t="s">
        <v>48</v>
      </c>
      <c r="D131" s="473">
        <f>AVERAGE(D127:D130)</f>
        <v>59661194.666666664</v>
      </c>
      <c r="E131" s="404">
        <f>AVERAGE(E127:E130)</f>
        <v>60913743.673238248</v>
      </c>
      <c r="F131" s="729">
        <f>AVERAGE(F127:F130)</f>
        <v>67045627.666666664</v>
      </c>
      <c r="G131" s="730">
        <f>AVERAGE(G127:G130)</f>
        <v>61135087.415350579</v>
      </c>
      <c r="H131" s="653"/>
      <c r="I131" s="483"/>
      <c r="J131" s="483"/>
      <c r="K131" s="483"/>
      <c r="L131" s="483"/>
    </row>
    <row r="132" spans="1:12" ht="25.2" x14ac:dyDescent="0.45">
      <c r="A132" s="380" t="s">
        <v>49</v>
      </c>
      <c r="B132" s="464">
        <v>1</v>
      </c>
      <c r="C132" s="476" t="s">
        <v>89</v>
      </c>
      <c r="D132" s="477">
        <v>14.87</v>
      </c>
      <c r="E132" s="461"/>
      <c r="F132" s="660">
        <v>16.649999999999999</v>
      </c>
      <c r="G132" s="483"/>
      <c r="H132" s="653"/>
      <c r="I132" s="483"/>
      <c r="J132" s="483"/>
      <c r="K132" s="483"/>
      <c r="L132" s="483"/>
    </row>
    <row r="133" spans="1:12" ht="25.2" x14ac:dyDescent="0.45">
      <c r="A133" s="380" t="s">
        <v>51</v>
      </c>
      <c r="B133" s="464">
        <v>1</v>
      </c>
      <c r="C133" s="478" t="s">
        <v>90</v>
      </c>
      <c r="D133" s="479">
        <f>D132*$B$88</f>
        <v>14.87</v>
      </c>
      <c r="E133" s="480"/>
      <c r="F133" s="410">
        <f>F132*$B$88</f>
        <v>16.649999999999999</v>
      </c>
      <c r="G133" s="483"/>
      <c r="H133" s="653"/>
      <c r="I133" s="483"/>
      <c r="J133" s="483"/>
      <c r="K133" s="483"/>
      <c r="L133" s="483"/>
    </row>
    <row r="134" spans="1:12" ht="18.600000000000001" thickBot="1" x14ac:dyDescent="0.4">
      <c r="A134" s="380" t="s">
        <v>53</v>
      </c>
      <c r="B134" s="480">
        <f>(B133/B132)*(B131/B130)*(B129/B128)*(B127/B126)*B125</f>
        <v>50</v>
      </c>
      <c r="C134" s="478" t="s">
        <v>91</v>
      </c>
      <c r="D134" s="481">
        <f>D133*$B$84/100</f>
        <v>14.691559999999999</v>
      </c>
      <c r="E134" s="457"/>
      <c r="F134" s="413">
        <f>F133*$B$84/100</f>
        <v>16.450199999999999</v>
      </c>
      <c r="G134" s="483"/>
      <c r="H134" s="653"/>
      <c r="I134" s="483"/>
      <c r="J134" s="483"/>
      <c r="K134" s="483"/>
      <c r="L134" s="483"/>
    </row>
    <row r="135" spans="1:12" ht="18.600000000000001" thickBot="1" x14ac:dyDescent="0.4">
      <c r="A135" s="783" t="s">
        <v>55</v>
      </c>
      <c r="B135" s="798"/>
      <c r="C135" s="478" t="s">
        <v>92</v>
      </c>
      <c r="D135" s="482">
        <f>D134/$B$134</f>
        <v>0.29383119999999996</v>
      </c>
      <c r="E135" s="457"/>
      <c r="F135" s="417">
        <f>F134/$B$134</f>
        <v>0.32900399999999996</v>
      </c>
      <c r="G135" s="483"/>
      <c r="H135" s="653"/>
      <c r="I135" s="483"/>
      <c r="J135" s="483"/>
      <c r="K135" s="483"/>
      <c r="L135" s="483"/>
    </row>
    <row r="136" spans="1:12" ht="18.600000000000001" thickBot="1" x14ac:dyDescent="0.4">
      <c r="A136" s="785"/>
      <c r="B136" s="799"/>
      <c r="C136" s="478" t="s">
        <v>57</v>
      </c>
      <c r="D136" s="484">
        <f>$B$56/$B$117</f>
        <v>0.3</v>
      </c>
      <c r="E136" s="483"/>
      <c r="F136" s="422"/>
      <c r="G136" s="491"/>
      <c r="H136" s="653"/>
      <c r="I136" s="483"/>
      <c r="J136" s="483"/>
      <c r="K136" s="483"/>
      <c r="L136" s="483"/>
    </row>
    <row r="137" spans="1:12" ht="18" x14ac:dyDescent="0.35">
      <c r="A137" s="483"/>
      <c r="B137" s="483"/>
      <c r="C137" s="478" t="s">
        <v>58</v>
      </c>
      <c r="D137" s="479">
        <f>D136*$B$99</f>
        <v>15</v>
      </c>
      <c r="E137" s="483"/>
      <c r="F137" s="422"/>
      <c r="G137" s="483"/>
      <c r="H137" s="653"/>
      <c r="I137" s="483"/>
      <c r="J137" s="483"/>
      <c r="K137" s="483"/>
      <c r="L137" s="483"/>
    </row>
    <row r="138" spans="1:12" ht="18.600000000000001" thickBot="1" x14ac:dyDescent="0.4">
      <c r="A138" s="483"/>
      <c r="B138" s="483"/>
      <c r="C138" s="486" t="s">
        <v>59</v>
      </c>
      <c r="D138" s="487">
        <f>D137/B34</f>
        <v>15</v>
      </c>
      <c r="E138" s="483"/>
      <c r="F138" s="426"/>
      <c r="G138" s="483"/>
      <c r="H138" s="653"/>
      <c r="I138" s="483"/>
      <c r="J138" s="483"/>
      <c r="K138" s="483"/>
      <c r="L138" s="483"/>
    </row>
    <row r="139" spans="1:12" ht="18" x14ac:dyDescent="0.35">
      <c r="A139" s="483"/>
      <c r="B139" s="483"/>
      <c r="C139" s="489" t="s">
        <v>93</v>
      </c>
      <c r="D139" s="490">
        <f>AVERAGE(E127:E130,G127:G130)</f>
        <v>61024415.544294417</v>
      </c>
      <c r="E139" s="483"/>
      <c r="F139" s="426"/>
      <c r="G139" s="491"/>
      <c r="H139" s="653"/>
      <c r="I139" s="483"/>
      <c r="J139" s="483"/>
      <c r="K139" s="483"/>
      <c r="L139" s="483"/>
    </row>
    <row r="140" spans="1:12" ht="18" x14ac:dyDescent="0.35">
      <c r="A140" s="483"/>
      <c r="B140" s="483"/>
      <c r="C140" s="456" t="s">
        <v>61</v>
      </c>
      <c r="D140" s="493">
        <f>STDEV(E127:E130,G127:G130)/D139</f>
        <v>6.1175249502601926E-3</v>
      </c>
      <c r="E140" s="483"/>
      <c r="F140" s="426"/>
      <c r="G140" s="483"/>
      <c r="H140" s="653"/>
      <c r="I140" s="483"/>
      <c r="J140" s="483"/>
      <c r="K140" s="483"/>
      <c r="L140" s="483"/>
    </row>
    <row r="141" spans="1:12" ht="18.600000000000001" thickBot="1" x14ac:dyDescent="0.4">
      <c r="A141" s="483"/>
      <c r="B141" s="483"/>
      <c r="C141" s="458" t="s">
        <v>3</v>
      </c>
      <c r="D141" s="494">
        <f>COUNT(E127:E130,G127:G130)</f>
        <v>6</v>
      </c>
      <c r="E141" s="483"/>
      <c r="F141" s="426"/>
      <c r="G141" s="483"/>
      <c r="H141" s="653"/>
      <c r="I141" s="483"/>
      <c r="J141" s="483"/>
      <c r="K141" s="483"/>
      <c r="L141" s="483"/>
    </row>
    <row r="142" spans="1:12" ht="18.600000000000001" thickBot="1" x14ac:dyDescent="0.4">
      <c r="A142" s="430"/>
      <c r="B142" s="430"/>
      <c r="C142" s="430"/>
      <c r="D142" s="430"/>
      <c r="E142" s="430"/>
      <c r="F142" s="483"/>
      <c r="G142" s="483"/>
      <c r="H142" s="653"/>
      <c r="I142" s="483"/>
      <c r="J142" s="483"/>
      <c r="K142" s="483"/>
      <c r="L142" s="483"/>
    </row>
    <row r="143" spans="1:12" ht="25.2" x14ac:dyDescent="0.45">
      <c r="A143" s="378" t="s">
        <v>94</v>
      </c>
      <c r="B143" s="379">
        <v>1000</v>
      </c>
      <c r="C143" s="702" t="s">
        <v>121</v>
      </c>
      <c r="D143" s="496" t="s">
        <v>40</v>
      </c>
      <c r="E143" s="497" t="s">
        <v>95</v>
      </c>
      <c r="F143" s="498" t="s">
        <v>96</v>
      </c>
      <c r="G143" s="483"/>
      <c r="H143" s="653"/>
      <c r="I143" s="483"/>
      <c r="J143" s="483"/>
      <c r="K143" s="483"/>
      <c r="L143" s="483"/>
    </row>
    <row r="144" spans="1:12" ht="25.2" x14ac:dyDescent="0.45">
      <c r="A144" s="380" t="s">
        <v>97</v>
      </c>
      <c r="B144" s="381">
        <v>1</v>
      </c>
      <c r="C144" s="499">
        <v>1</v>
      </c>
      <c r="D144" s="500">
        <v>63069968</v>
      </c>
      <c r="E144" s="734">
        <f>IF(ISBLANK(D144),"-",D144/$D$139*$D$136*$B$152)</f>
        <v>310.0560690542992</v>
      </c>
      <c r="F144" s="731">
        <f>IF(ISBLANK(D144), "-", E144/$B$56)</f>
        <v>1.0335202301809974</v>
      </c>
      <c r="G144" s="483"/>
      <c r="H144" s="653"/>
      <c r="I144" s="483"/>
      <c r="J144" s="483"/>
      <c r="K144" s="483"/>
      <c r="L144" s="483"/>
    </row>
    <row r="145" spans="1:12" ht="25.2" x14ac:dyDescent="0.45">
      <c r="A145" s="380" t="s">
        <v>71</v>
      </c>
      <c r="B145" s="381">
        <v>1</v>
      </c>
      <c r="C145" s="499">
        <v>2</v>
      </c>
      <c r="D145" s="500">
        <v>59332393</v>
      </c>
      <c r="E145" s="735">
        <f>IF(ISBLANK(D145),"-",D145/$D$139*$D$136*$B$152)</f>
        <v>291.68190700786181</v>
      </c>
      <c r="F145" s="732">
        <f t="shared" ref="F145:F149" si="5">IF(ISBLANK(D145), "-", E145/$B$56)</f>
        <v>0.97227302335953936</v>
      </c>
      <c r="G145" s="483"/>
      <c r="H145" s="653"/>
      <c r="I145" s="483"/>
      <c r="J145" s="483"/>
      <c r="K145" s="483"/>
      <c r="L145" s="483"/>
    </row>
    <row r="146" spans="1:12" ht="25.2" x14ac:dyDescent="0.45">
      <c r="A146" s="380" t="s">
        <v>72</v>
      </c>
      <c r="B146" s="381">
        <v>1</v>
      </c>
      <c r="C146" s="499">
        <v>3</v>
      </c>
      <c r="D146" s="500">
        <v>60940597</v>
      </c>
      <c r="E146" s="735">
        <f t="shared" ref="E146:E149" si="6">IF(ISBLANK(D146),"-",D146/$D$139*$D$136*$B$152)</f>
        <v>299.58794257898182</v>
      </c>
      <c r="F146" s="732">
        <f t="shared" si="5"/>
        <v>0.99862647526327275</v>
      </c>
      <c r="G146" s="483"/>
      <c r="H146" s="653"/>
      <c r="I146" s="483"/>
      <c r="J146" s="483"/>
      <c r="K146" s="483"/>
      <c r="L146" s="483"/>
    </row>
    <row r="147" spans="1:12" ht="25.2" x14ac:dyDescent="0.45">
      <c r="A147" s="380" t="s">
        <v>73</v>
      </c>
      <c r="B147" s="381">
        <v>1</v>
      </c>
      <c r="C147" s="499">
        <v>4</v>
      </c>
      <c r="D147" s="500">
        <v>59421365</v>
      </c>
      <c r="E147" s="735">
        <f t="shared" si="6"/>
        <v>292.1192991526604</v>
      </c>
      <c r="F147" s="732">
        <f t="shared" si="5"/>
        <v>0.97373099717553468</v>
      </c>
      <c r="G147" s="483"/>
      <c r="H147" s="653"/>
      <c r="I147" s="483"/>
      <c r="J147" s="483"/>
      <c r="K147" s="483"/>
      <c r="L147" s="483"/>
    </row>
    <row r="148" spans="1:12" ht="25.2" x14ac:dyDescent="0.45">
      <c r="A148" s="380" t="s">
        <v>74</v>
      </c>
      <c r="B148" s="381">
        <v>1</v>
      </c>
      <c r="C148" s="499">
        <v>5</v>
      </c>
      <c r="D148" s="500">
        <v>61770242</v>
      </c>
      <c r="E148" s="735">
        <f t="shared" si="6"/>
        <v>303.66653141559823</v>
      </c>
      <c r="F148" s="732">
        <f t="shared" si="5"/>
        <v>1.0122217713853274</v>
      </c>
      <c r="G148" s="483"/>
      <c r="H148" s="653"/>
      <c r="I148" s="483"/>
      <c r="J148" s="483"/>
      <c r="K148" s="483"/>
      <c r="L148" s="483"/>
    </row>
    <row r="149" spans="1:12" ht="25.2" x14ac:dyDescent="0.45">
      <c r="A149" s="380" t="s">
        <v>76</v>
      </c>
      <c r="B149" s="381">
        <v>1</v>
      </c>
      <c r="C149" s="503">
        <v>6</v>
      </c>
      <c r="D149" s="504">
        <v>61165705</v>
      </c>
      <c r="E149" s="736">
        <f t="shared" si="6"/>
        <v>300.69458816333776</v>
      </c>
      <c r="F149" s="733">
        <f t="shared" si="5"/>
        <v>1.0023152938777926</v>
      </c>
      <c r="G149" s="483"/>
      <c r="H149" s="653"/>
      <c r="I149" s="483"/>
      <c r="J149" s="483"/>
      <c r="K149" s="483"/>
      <c r="L149" s="483"/>
    </row>
    <row r="150" spans="1:12" ht="25.2" x14ac:dyDescent="0.45">
      <c r="A150" s="380" t="s">
        <v>77</v>
      </c>
      <c r="B150" s="381">
        <v>1</v>
      </c>
      <c r="C150" s="499"/>
      <c r="D150" s="480"/>
      <c r="E150" s="461"/>
      <c r="F150" s="506"/>
      <c r="G150" s="483"/>
      <c r="H150" s="653"/>
      <c r="I150" s="483"/>
      <c r="J150" s="483"/>
      <c r="K150" s="483"/>
      <c r="L150" s="483"/>
    </row>
    <row r="151" spans="1:12" ht="25.2" x14ac:dyDescent="0.45">
      <c r="A151" s="380" t="s">
        <v>78</v>
      </c>
      <c r="B151" s="381">
        <v>1</v>
      </c>
      <c r="C151" s="499"/>
      <c r="D151" s="507" t="s">
        <v>48</v>
      </c>
      <c r="E151" s="533">
        <f>AVERAGE(E144:E149)</f>
        <v>299.6343895621232</v>
      </c>
      <c r="F151" s="508">
        <f>AVERAGE(F144:F149)</f>
        <v>0.99878129854041076</v>
      </c>
      <c r="G151" s="483"/>
      <c r="H151" s="653"/>
      <c r="I151" s="483"/>
      <c r="J151" s="483"/>
      <c r="K151" s="483"/>
      <c r="L151" s="483"/>
    </row>
    <row r="152" spans="1:12" ht="25.8" thickBot="1" x14ac:dyDescent="0.5">
      <c r="A152" s="380" t="s">
        <v>79</v>
      </c>
      <c r="B152" s="412">
        <f>(B151/B150)*(B149/B148)*(B147/B146)*(B145/B144)*B143</f>
        <v>1000</v>
      </c>
      <c r="C152" s="509"/>
      <c r="D152" s="691" t="s">
        <v>61</v>
      </c>
      <c r="E152" s="510">
        <f>STDEV(E144:E149)/E151</f>
        <v>2.339583599189975E-2</v>
      </c>
      <c r="F152" s="510">
        <f>STDEV(F144:F149)/F151</f>
        <v>2.3395835991899764E-2</v>
      </c>
      <c r="G152" s="483"/>
      <c r="H152" s="653"/>
      <c r="I152" s="483"/>
      <c r="J152" s="483"/>
      <c r="K152" s="483"/>
      <c r="L152" s="483"/>
    </row>
    <row r="153" spans="1:12" ht="25.8" thickBot="1" x14ac:dyDescent="0.5">
      <c r="A153" s="783" t="s">
        <v>55</v>
      </c>
      <c r="B153" s="784"/>
      <c r="C153" s="511"/>
      <c r="D153" s="692" t="s">
        <v>3</v>
      </c>
      <c r="E153" s="512">
        <f>COUNT(E144:E149)</f>
        <v>6</v>
      </c>
      <c r="F153" s="512">
        <f>COUNT(F144:F149)</f>
        <v>6</v>
      </c>
      <c r="G153" s="483"/>
      <c r="H153" s="653"/>
      <c r="I153" s="483"/>
      <c r="J153" s="483"/>
      <c r="K153" s="483"/>
      <c r="L153" s="483"/>
    </row>
    <row r="154" spans="1:12" ht="18.600000000000001" thickBot="1" x14ac:dyDescent="0.4">
      <c r="A154" s="785"/>
      <c r="B154" s="786"/>
      <c r="C154" s="461"/>
      <c r="D154" s="461"/>
      <c r="E154" s="461"/>
      <c r="F154" s="480"/>
      <c r="G154" s="461"/>
      <c r="H154" s="653"/>
      <c r="I154" s="483"/>
      <c r="J154" s="483"/>
      <c r="K154" s="483"/>
      <c r="L154" s="483"/>
    </row>
    <row r="155" spans="1:12" ht="18" x14ac:dyDescent="0.35">
      <c r="A155" s="521"/>
      <c r="B155" s="376"/>
      <c r="C155" s="461"/>
      <c r="D155" s="461"/>
      <c r="E155" s="461"/>
      <c r="F155" s="480"/>
      <c r="G155" s="461"/>
      <c r="H155" s="653"/>
      <c r="I155" s="483"/>
      <c r="J155" s="483"/>
      <c r="K155" s="483"/>
      <c r="L155" s="483"/>
    </row>
    <row r="156" spans="1:12" ht="25.2" x14ac:dyDescent="0.45">
      <c r="A156" s="516" t="s">
        <v>82</v>
      </c>
      <c r="B156" s="472" t="s">
        <v>98</v>
      </c>
      <c r="C156" s="793" t="str">
        <f>C121</f>
        <v>TENOFOVIR DISOPROXIL FUMARATE</v>
      </c>
      <c r="D156" s="793"/>
      <c r="E156" s="461" t="s">
        <v>99</v>
      </c>
      <c r="F156" s="461"/>
      <c r="G156" s="462">
        <f>F151</f>
        <v>0.99878129854041076</v>
      </c>
      <c r="H156" s="653"/>
      <c r="I156" s="483"/>
      <c r="J156" s="483"/>
      <c r="K156" s="483"/>
      <c r="L156" s="483"/>
    </row>
    <row r="157" spans="1:12" ht="18" x14ac:dyDescent="0.35">
      <c r="A157" s="576"/>
      <c r="B157" s="576"/>
      <c r="C157" s="576"/>
      <c r="D157" s="576"/>
      <c r="E157" s="576"/>
      <c r="F157" s="576"/>
      <c r="G157" s="576"/>
      <c r="H157" s="653"/>
      <c r="I157" s="483"/>
      <c r="J157" s="483"/>
      <c r="K157" s="483"/>
      <c r="L157" s="483"/>
    </row>
    <row r="158" spans="1:12" ht="18" x14ac:dyDescent="0.35">
      <c r="A158" s="719"/>
      <c r="B158" s="719"/>
      <c r="C158" s="653"/>
      <c r="D158" s="653"/>
      <c r="E158" s="653"/>
      <c r="F158" s="653"/>
      <c r="G158" s="653"/>
      <c r="H158" s="653"/>
      <c r="I158" s="483"/>
      <c r="J158" s="483"/>
      <c r="K158" s="483"/>
      <c r="L158" s="483"/>
    </row>
    <row r="159" spans="1:12" ht="18" x14ac:dyDescent="0.35">
      <c r="A159" s="737" t="s">
        <v>146</v>
      </c>
      <c r="B159" s="738" t="s">
        <v>147</v>
      </c>
      <c r="C159" s="653"/>
      <c r="D159" s="653"/>
      <c r="E159" s="653"/>
      <c r="F159" s="653"/>
      <c r="G159" s="653"/>
      <c r="H159" s="653"/>
      <c r="I159" s="483"/>
      <c r="J159" s="483"/>
      <c r="K159" s="483"/>
      <c r="L159" s="483"/>
    </row>
    <row r="160" spans="1:12" ht="18.600000000000001" thickBot="1" x14ac:dyDescent="0.4">
      <c r="A160" s="741"/>
      <c r="B160" s="741"/>
      <c r="C160" s="653"/>
      <c r="D160" s="653"/>
      <c r="E160" s="653"/>
      <c r="F160" s="653"/>
      <c r="G160" s="653"/>
      <c r="H160" s="653"/>
      <c r="I160" s="483"/>
      <c r="J160" s="483"/>
      <c r="K160" s="483"/>
      <c r="L160" s="483"/>
    </row>
    <row r="161" spans="1:12" ht="25.2" x14ac:dyDescent="0.45">
      <c r="A161" s="742" t="s">
        <v>48</v>
      </c>
      <c r="B161" s="743">
        <f>AVERAGE(F109:F114,F144:F149)</f>
        <v>0.95048945652247285</v>
      </c>
      <c r="C161" s="653"/>
      <c r="D161" s="653"/>
      <c r="E161" s="653"/>
      <c r="F161" s="653"/>
      <c r="G161" s="653"/>
      <c r="H161" s="653"/>
      <c r="I161" s="483"/>
      <c r="J161" s="483"/>
      <c r="K161" s="483"/>
      <c r="L161" s="483"/>
    </row>
    <row r="162" spans="1:12" ht="25.2" x14ac:dyDescent="0.45">
      <c r="A162" s="744" t="s">
        <v>61</v>
      </c>
      <c r="B162" s="745">
        <f>STDEV(F109:F114,F144:F149)/B161</f>
        <v>8.3690249407193051E-2</v>
      </c>
      <c r="C162" s="653"/>
      <c r="D162" s="653"/>
      <c r="E162" s="653"/>
      <c r="F162" s="653"/>
      <c r="G162" s="653"/>
      <c r="H162" s="653"/>
      <c r="I162" s="483"/>
      <c r="J162" s="483"/>
      <c r="K162" s="483"/>
      <c r="L162" s="483"/>
    </row>
    <row r="163" spans="1:12" ht="25.8" thickBot="1" x14ac:dyDescent="0.5">
      <c r="A163" s="746" t="s">
        <v>3</v>
      </c>
      <c r="B163" s="747">
        <f>COUNT(F109:F114,F144:F149)</f>
        <v>12</v>
      </c>
      <c r="C163" s="653"/>
      <c r="D163" s="653"/>
      <c r="E163" s="653"/>
      <c r="F163" s="653"/>
      <c r="G163" s="653"/>
      <c r="H163" s="653"/>
      <c r="I163" s="483"/>
      <c r="J163" s="483"/>
      <c r="K163" s="483"/>
      <c r="L163" s="483"/>
    </row>
    <row r="164" spans="1:12" ht="18" x14ac:dyDescent="0.35">
      <c r="B164" s="749" t="s">
        <v>98</v>
      </c>
      <c r="C164" s="653"/>
      <c r="D164" s="653"/>
      <c r="E164" s="653"/>
      <c r="F164" s="653"/>
      <c r="G164" s="653"/>
      <c r="H164" s="653"/>
      <c r="I164" s="483"/>
      <c r="J164" s="483"/>
      <c r="K164" s="483"/>
      <c r="L164" s="483"/>
    </row>
    <row r="165" spans="1:12" ht="18" x14ac:dyDescent="0.35">
      <c r="A165" s="719"/>
      <c r="B165" s="719"/>
      <c r="C165" s="653"/>
      <c r="D165" s="653"/>
      <c r="E165" s="653"/>
      <c r="F165" s="653"/>
      <c r="G165" s="653"/>
      <c r="H165" s="653"/>
      <c r="I165" s="483"/>
      <c r="J165" s="483"/>
      <c r="K165" s="483"/>
      <c r="L165" s="483"/>
    </row>
    <row r="166" spans="1:12" ht="25.2" x14ac:dyDescent="0.45">
      <c r="A166" s="748" t="s">
        <v>148</v>
      </c>
      <c r="B166" s="752" t="str">
        <f>CONCATENATE("The amount  of ", B26, " dissolved as a percentage of the stated label claim is: ")</f>
        <v xml:space="preserve">The amount  of TENOFOVIR DISOPROXIL FUMARATE dissolved as a percentage of the stated label claim is: </v>
      </c>
      <c r="C166" s="653"/>
      <c r="D166" s="653"/>
      <c r="F166" s="462">
        <f>B161</f>
        <v>0.95048945652247285</v>
      </c>
      <c r="G166" s="653"/>
      <c r="H166" s="653"/>
      <c r="I166" s="483"/>
      <c r="J166" s="483"/>
      <c r="K166" s="483"/>
      <c r="L166" s="483"/>
    </row>
    <row r="167" spans="1:12" ht="18" x14ac:dyDescent="0.35">
      <c r="A167" s="719"/>
      <c r="B167" s="719"/>
      <c r="C167" s="653"/>
      <c r="D167" s="653"/>
      <c r="E167" s="653"/>
      <c r="F167" s="653"/>
      <c r="G167" s="653"/>
      <c r="H167" s="653"/>
      <c r="I167" s="483"/>
      <c r="J167" s="483"/>
      <c r="K167" s="483"/>
      <c r="L167" s="483"/>
    </row>
    <row r="168" spans="1:12" ht="18.600000000000001" thickBot="1" x14ac:dyDescent="0.4">
      <c r="A168" s="705"/>
      <c r="B168" s="705"/>
      <c r="C168" s="514"/>
      <c r="D168" s="514"/>
      <c r="E168" s="514"/>
      <c r="F168" s="514"/>
      <c r="G168" s="514"/>
      <c r="H168" s="653"/>
      <c r="I168" s="483"/>
      <c r="J168" s="483"/>
      <c r="K168" s="483"/>
      <c r="L168" s="483"/>
    </row>
    <row r="169" spans="1:12" ht="18" x14ac:dyDescent="0.35">
      <c r="B169" s="797" t="s">
        <v>4</v>
      </c>
      <c r="C169" s="797"/>
      <c r="E169" s="289" t="s">
        <v>5</v>
      </c>
      <c r="F169" s="335"/>
      <c r="G169" s="797" t="s">
        <v>6</v>
      </c>
      <c r="H169" s="797"/>
    </row>
    <row r="170" spans="1:12" ht="28.2" customHeight="1" x14ac:dyDescent="0.35">
      <c r="A170" s="336" t="s">
        <v>7</v>
      </c>
      <c r="B170" s="764" t="s">
        <v>137</v>
      </c>
      <c r="C170" s="764"/>
      <c r="E170" s="337"/>
      <c r="F170" s="177"/>
      <c r="G170" s="338"/>
      <c r="H170" s="338"/>
    </row>
    <row r="171" spans="1:12" ht="31.8" customHeight="1" x14ac:dyDescent="0.35">
      <c r="A171" s="336" t="s">
        <v>8</v>
      </c>
      <c r="B171" s="339"/>
      <c r="C171" s="339"/>
      <c r="E171" s="339"/>
      <c r="F171" s="177"/>
      <c r="G171" s="340"/>
      <c r="H171" s="340"/>
    </row>
    <row r="172" spans="1:12" ht="31.2" customHeight="1" x14ac:dyDescent="0.35">
      <c r="A172" s="274"/>
      <c r="B172" s="274"/>
      <c r="C172" s="275"/>
      <c r="D172" s="275"/>
      <c r="E172" s="275"/>
      <c r="F172" s="279"/>
      <c r="G172" s="275"/>
      <c r="H172" s="275"/>
      <c r="I172" s="177"/>
    </row>
    <row r="173" spans="1:12" ht="18" x14ac:dyDescent="0.35">
      <c r="A173" s="274"/>
      <c r="B173" s="274"/>
      <c r="C173" s="275"/>
      <c r="D173" s="275"/>
      <c r="E173" s="275"/>
      <c r="F173" s="279"/>
      <c r="G173" s="275"/>
      <c r="H173" s="275"/>
      <c r="I173" s="177"/>
    </row>
    <row r="174" spans="1:12" ht="18" x14ac:dyDescent="0.35">
      <c r="A174" s="274"/>
      <c r="B174" s="274"/>
      <c r="C174" s="275"/>
      <c r="D174" s="275"/>
      <c r="E174" s="275"/>
      <c r="F174" s="279"/>
      <c r="G174" s="275"/>
      <c r="H174" s="275"/>
      <c r="I174" s="177"/>
    </row>
    <row r="175" spans="1:12" ht="18" x14ac:dyDescent="0.35">
      <c r="A175" s="274"/>
      <c r="B175" s="274"/>
      <c r="C175" s="275"/>
      <c r="D175" s="275"/>
      <c r="E175" s="275"/>
      <c r="F175" s="279"/>
      <c r="G175" s="275"/>
      <c r="H175" s="275"/>
      <c r="I175" s="177"/>
    </row>
    <row r="176" spans="1:12" ht="18" x14ac:dyDescent="0.35">
      <c r="A176" s="274"/>
      <c r="B176" s="274"/>
      <c r="C176" s="275"/>
      <c r="D176" s="275"/>
      <c r="E176" s="275"/>
      <c r="F176" s="279"/>
      <c r="G176" s="275"/>
      <c r="H176" s="275"/>
      <c r="I176" s="177"/>
    </row>
    <row r="177" spans="1:9" ht="18" x14ac:dyDescent="0.35">
      <c r="A177" s="274"/>
      <c r="B177" s="274"/>
      <c r="C177" s="275"/>
      <c r="D177" s="275"/>
      <c r="E177" s="275"/>
      <c r="F177" s="279"/>
      <c r="G177" s="275"/>
      <c r="H177" s="275"/>
      <c r="I177" s="177"/>
    </row>
    <row r="178" spans="1:9" ht="18" x14ac:dyDescent="0.35">
      <c r="A178" s="274"/>
      <c r="B178" s="274"/>
      <c r="C178" s="275"/>
      <c r="D178" s="275"/>
      <c r="E178" s="275"/>
      <c r="F178" s="279"/>
      <c r="G178" s="275"/>
      <c r="H178" s="275"/>
      <c r="I178" s="177"/>
    </row>
    <row r="179" spans="1:9" ht="18" x14ac:dyDescent="0.35">
      <c r="A179" s="274"/>
      <c r="B179" s="274"/>
      <c r="C179" s="275"/>
      <c r="D179" s="275"/>
      <c r="E179" s="275"/>
      <c r="F179" s="279"/>
      <c r="G179" s="275"/>
      <c r="H179" s="275"/>
      <c r="I179" s="177"/>
    </row>
    <row r="180" spans="1:9" ht="18" x14ac:dyDescent="0.35">
      <c r="A180" s="274"/>
      <c r="B180" s="274"/>
      <c r="C180" s="275"/>
      <c r="D180" s="275"/>
      <c r="E180" s="275"/>
      <c r="F180" s="279"/>
      <c r="G180" s="275"/>
      <c r="H180" s="275"/>
      <c r="I180" s="177"/>
    </row>
    <row r="297" spans="1:1" x14ac:dyDescent="0.3">
      <c r="A297" s="1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8:B119"/>
    <mergeCell ref="C121:D121"/>
    <mergeCell ref="B169:C169"/>
    <mergeCell ref="G169:H169"/>
    <mergeCell ref="C83:G83"/>
    <mergeCell ref="C85:H85"/>
    <mergeCell ref="C86:H86"/>
    <mergeCell ref="F90:G90"/>
    <mergeCell ref="I93:I94"/>
    <mergeCell ref="A100:B101"/>
    <mergeCell ref="C68:C71"/>
    <mergeCell ref="D68:D71"/>
    <mergeCell ref="A70:B71"/>
    <mergeCell ref="C76:D76"/>
    <mergeCell ref="C32:H32"/>
    <mergeCell ref="D36:E36"/>
    <mergeCell ref="F36:G36"/>
    <mergeCell ref="B80:C80"/>
    <mergeCell ref="I39:I40"/>
    <mergeCell ref="A46:B47"/>
    <mergeCell ref="C60:C63"/>
    <mergeCell ref="D60:D63"/>
    <mergeCell ref="C64:C67"/>
    <mergeCell ref="D64:D67"/>
    <mergeCell ref="A16:H16"/>
    <mergeCell ref="A17:H17"/>
    <mergeCell ref="B21:H21"/>
    <mergeCell ref="C29:G29"/>
    <mergeCell ref="C31:H31"/>
    <mergeCell ref="F125:G125"/>
    <mergeCell ref="A135:B136"/>
    <mergeCell ref="A153:B154"/>
    <mergeCell ref="C156:D156"/>
    <mergeCell ref="B170:C170"/>
  </mergeCells>
  <conditionalFormatting sqref="E51">
    <cfRule type="cellIs" dxfId="18" priority="2" operator="greaterThan">
      <formula>0.02</formula>
    </cfRule>
  </conditionalFormatting>
  <conditionalFormatting sqref="D51">
    <cfRule type="cellIs" dxfId="17" priority="3" operator="greaterThan">
      <formula>0.02</formula>
    </cfRule>
  </conditionalFormatting>
  <conditionalFormatting sqref="G73">
    <cfRule type="cellIs" dxfId="16" priority="4" operator="greaterThan">
      <formula>0.02</formula>
    </cfRule>
  </conditionalFormatting>
  <conditionalFormatting sqref="D105">
    <cfRule type="cellIs" dxfId="15" priority="6" operator="greaterThan">
      <formula>0.02</formula>
    </cfRule>
  </conditionalFormatting>
  <conditionalFormatting sqref="I39">
    <cfRule type="cellIs" dxfId="14" priority="7" operator="lessThanOrEqual">
      <formula>0.02</formula>
    </cfRule>
  </conditionalFormatting>
  <conditionalFormatting sqref="I39">
    <cfRule type="cellIs" dxfId="13" priority="8" operator="greaterThan">
      <formula>0.02</formula>
    </cfRule>
  </conditionalFormatting>
  <conditionalFormatting sqref="I93">
    <cfRule type="cellIs" dxfId="12" priority="9" operator="lessThanOrEqual">
      <formula>0.02</formula>
    </cfRule>
  </conditionalFormatting>
  <conditionalFormatting sqref="I93">
    <cfRule type="cellIs" dxfId="11" priority="10" operator="greaterThan">
      <formula>0.02</formula>
    </cfRule>
  </conditionalFormatting>
  <conditionalFormatting sqref="D140">
    <cfRule type="cellIs" dxfId="10" priority="1" operator="greaterThan">
      <formula>0.02</formula>
    </cfRule>
  </conditionalFormatting>
  <printOptions horizontalCentered="1"/>
  <pageMargins left="0.7" right="0.7" top="0.75" bottom="0.75" header="0.3" footer="0.3"/>
  <pageSetup scale="27" fitToHeight="2" orientation="portrait" r:id="rId1"/>
  <headerFooter>
    <oddHeader>&amp;LVer 3</oddHeader>
    <oddFooter>&amp;LNQCL/ADDO/014&amp;CPage &amp;P of &amp;N&amp;R&amp;D &amp;T</oddFooter>
  </headerFooter>
  <rowBreaks count="1" manualBreakCount="1">
    <brk id="122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view="pageBreakPreview" topLeftCell="A143" zoomScale="60" zoomScaleNormal="70" zoomScalePageLayoutView="50" workbookViewId="0">
      <selection activeCell="G146" sqref="G146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76"/>
  </cols>
  <sheetData>
    <row r="1" spans="1:12" customFormat="1" ht="18.75" customHeight="1" x14ac:dyDescent="0.3">
      <c r="A1" s="781" t="s">
        <v>22</v>
      </c>
      <c r="B1" s="781"/>
      <c r="C1" s="781"/>
      <c r="D1" s="781"/>
      <c r="E1" s="781"/>
      <c r="F1" s="781"/>
      <c r="G1" s="781"/>
      <c r="H1" s="781"/>
      <c r="I1" s="781"/>
      <c r="J1" s="1"/>
      <c r="K1" s="1"/>
      <c r="L1" s="1"/>
    </row>
    <row r="2" spans="1:12" customFormat="1" ht="18.75" customHeight="1" x14ac:dyDescent="0.3">
      <c r="A2" s="781"/>
      <c r="B2" s="781"/>
      <c r="C2" s="781"/>
      <c r="D2" s="781"/>
      <c r="E2" s="781"/>
      <c r="F2" s="781"/>
      <c r="G2" s="781"/>
      <c r="H2" s="781"/>
      <c r="I2" s="781"/>
      <c r="J2" s="1"/>
      <c r="K2" s="1"/>
      <c r="L2" s="1"/>
    </row>
    <row r="3" spans="1:12" customFormat="1" ht="18.75" customHeight="1" x14ac:dyDescent="0.3">
      <c r="A3" s="781"/>
      <c r="B3" s="781"/>
      <c r="C3" s="781"/>
      <c r="D3" s="781"/>
      <c r="E3" s="781"/>
      <c r="F3" s="781"/>
      <c r="G3" s="781"/>
      <c r="H3" s="781"/>
      <c r="I3" s="781"/>
      <c r="J3" s="1"/>
      <c r="K3" s="1"/>
      <c r="L3" s="1"/>
    </row>
    <row r="4" spans="1:12" customFormat="1" ht="18.75" customHeight="1" x14ac:dyDescent="0.3">
      <c r="A4" s="781"/>
      <c r="B4" s="781"/>
      <c r="C4" s="781"/>
      <c r="D4" s="781"/>
      <c r="E4" s="781"/>
      <c r="F4" s="781"/>
      <c r="G4" s="781"/>
      <c r="H4" s="781"/>
      <c r="I4" s="781"/>
      <c r="J4" s="1"/>
      <c r="K4" s="1"/>
      <c r="L4" s="1"/>
    </row>
    <row r="5" spans="1:12" customFormat="1" ht="18.75" customHeight="1" x14ac:dyDescent="0.3">
      <c r="A5" s="781"/>
      <c r="B5" s="781"/>
      <c r="C5" s="781"/>
      <c r="D5" s="781"/>
      <c r="E5" s="781"/>
      <c r="F5" s="781"/>
      <c r="G5" s="781"/>
      <c r="H5" s="781"/>
      <c r="I5" s="781"/>
      <c r="J5" s="1"/>
      <c r="K5" s="1"/>
      <c r="L5" s="1"/>
    </row>
    <row r="6" spans="1:12" customFormat="1" ht="18.75" customHeight="1" x14ac:dyDescent="0.3">
      <c r="A6" s="781"/>
      <c r="B6" s="781"/>
      <c r="C6" s="781"/>
      <c r="D6" s="781"/>
      <c r="E6" s="781"/>
      <c r="F6" s="781"/>
      <c r="G6" s="781"/>
      <c r="H6" s="781"/>
      <c r="I6" s="781"/>
      <c r="J6" s="1"/>
      <c r="K6" s="1"/>
      <c r="L6" s="1"/>
    </row>
    <row r="7" spans="1:12" customFormat="1" ht="18.75" customHeight="1" x14ac:dyDescent="0.3">
      <c r="A7" s="781"/>
      <c r="B7" s="781"/>
      <c r="C7" s="781"/>
      <c r="D7" s="781"/>
      <c r="E7" s="781"/>
      <c r="F7" s="781"/>
      <c r="G7" s="781"/>
      <c r="H7" s="781"/>
      <c r="I7" s="781"/>
      <c r="J7" s="1"/>
      <c r="K7" s="1"/>
      <c r="L7" s="1"/>
    </row>
    <row r="8" spans="1:12" customFormat="1" x14ac:dyDescent="0.3">
      <c r="A8" s="782" t="s">
        <v>23</v>
      </c>
      <c r="B8" s="782"/>
      <c r="C8" s="782"/>
      <c r="D8" s="782"/>
      <c r="E8" s="782"/>
      <c r="F8" s="782"/>
      <c r="G8" s="782"/>
      <c r="H8" s="782"/>
      <c r="I8" s="782"/>
      <c r="J8" s="1"/>
      <c r="K8" s="1"/>
      <c r="L8" s="1"/>
    </row>
    <row r="9" spans="1:12" customFormat="1" x14ac:dyDescent="0.3">
      <c r="A9" s="782"/>
      <c r="B9" s="782"/>
      <c r="C9" s="782"/>
      <c r="D9" s="782"/>
      <c r="E9" s="782"/>
      <c r="F9" s="782"/>
      <c r="G9" s="782"/>
      <c r="H9" s="782"/>
      <c r="I9" s="782"/>
      <c r="J9" s="1"/>
      <c r="K9" s="1"/>
      <c r="L9" s="1"/>
    </row>
    <row r="10" spans="1:12" customFormat="1" x14ac:dyDescent="0.3">
      <c r="A10" s="782"/>
      <c r="B10" s="782"/>
      <c r="C10" s="782"/>
      <c r="D10" s="782"/>
      <c r="E10" s="782"/>
      <c r="F10" s="782"/>
      <c r="G10" s="782"/>
      <c r="H10" s="782"/>
      <c r="I10" s="782"/>
      <c r="J10" s="1"/>
      <c r="K10" s="1"/>
      <c r="L10" s="1"/>
    </row>
    <row r="11" spans="1:12" customFormat="1" x14ac:dyDescent="0.3">
      <c r="A11" s="782"/>
      <c r="B11" s="782"/>
      <c r="C11" s="782"/>
      <c r="D11" s="782"/>
      <c r="E11" s="782"/>
      <c r="F11" s="782"/>
      <c r="G11" s="782"/>
      <c r="H11" s="782"/>
      <c r="I11" s="782"/>
      <c r="J11" s="1"/>
      <c r="K11" s="1"/>
      <c r="L11" s="1"/>
    </row>
    <row r="12" spans="1:12" customFormat="1" x14ac:dyDescent="0.3">
      <c r="A12" s="782"/>
      <c r="B12" s="782"/>
      <c r="C12" s="782"/>
      <c r="D12" s="782"/>
      <c r="E12" s="782"/>
      <c r="F12" s="782"/>
      <c r="G12" s="782"/>
      <c r="H12" s="782"/>
      <c r="I12" s="782"/>
      <c r="J12" s="1"/>
      <c r="K12" s="1"/>
      <c r="L12" s="1"/>
    </row>
    <row r="13" spans="1:12" customFormat="1" x14ac:dyDescent="0.3">
      <c r="A13" s="782"/>
      <c r="B13" s="782"/>
      <c r="C13" s="782"/>
      <c r="D13" s="782"/>
      <c r="E13" s="782"/>
      <c r="F13" s="782"/>
      <c r="G13" s="782"/>
      <c r="H13" s="782"/>
      <c r="I13" s="782"/>
      <c r="J13" s="1"/>
      <c r="K13" s="1"/>
      <c r="L13" s="1"/>
    </row>
    <row r="14" spans="1:12" customFormat="1" x14ac:dyDescent="0.3">
      <c r="A14" s="782"/>
      <c r="B14" s="782"/>
      <c r="C14" s="782"/>
      <c r="D14" s="782"/>
      <c r="E14" s="782"/>
      <c r="F14" s="782"/>
      <c r="G14" s="782"/>
      <c r="H14" s="782"/>
      <c r="I14" s="782"/>
      <c r="J14" s="1"/>
      <c r="K14" s="1"/>
      <c r="L14" s="1"/>
    </row>
    <row r="15" spans="1:12" customFormat="1" ht="19.5" customHeight="1" thickBot="1" x14ac:dyDescent="0.4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thickBot="1" x14ac:dyDescent="0.4">
      <c r="A16" s="765" t="s">
        <v>9</v>
      </c>
      <c r="B16" s="766"/>
      <c r="C16" s="766"/>
      <c r="D16" s="766"/>
      <c r="E16" s="766"/>
      <c r="F16" s="766"/>
      <c r="G16" s="766"/>
      <c r="H16" s="767"/>
      <c r="I16" s="1"/>
      <c r="J16" s="1"/>
      <c r="K16" s="1"/>
      <c r="L16" s="1"/>
    </row>
    <row r="17" spans="1:14" customFormat="1" ht="20.25" customHeight="1" x14ac:dyDescent="0.3">
      <c r="A17" s="768" t="s">
        <v>24</v>
      </c>
      <c r="B17" s="768"/>
      <c r="C17" s="768"/>
      <c r="D17" s="768"/>
      <c r="E17" s="768"/>
      <c r="F17" s="768"/>
      <c r="G17" s="768"/>
      <c r="H17" s="768"/>
      <c r="I17" s="1"/>
      <c r="J17" s="1"/>
      <c r="K17" s="1"/>
      <c r="L17" s="1"/>
    </row>
    <row r="18" spans="1:14" customFormat="1" ht="26.25" customHeight="1" x14ac:dyDescent="0.5">
      <c r="A18" s="5" t="s">
        <v>11</v>
      </c>
      <c r="B18" s="644" t="s">
        <v>126</v>
      </c>
      <c r="C18" s="644"/>
      <c r="D18" s="163"/>
      <c r="E18" s="6"/>
      <c r="F18" s="7"/>
      <c r="G18" s="7"/>
      <c r="H18" s="7"/>
      <c r="I18" s="1"/>
      <c r="J18" s="1"/>
      <c r="K18" s="1"/>
      <c r="L18" s="1"/>
    </row>
    <row r="19" spans="1:14" customFormat="1" ht="26.25" customHeight="1" x14ac:dyDescent="0.5">
      <c r="A19" s="5" t="s">
        <v>12</v>
      </c>
      <c r="B19" s="8" t="s">
        <v>139</v>
      </c>
      <c r="C19" s="176">
        <v>29</v>
      </c>
      <c r="D19" s="7"/>
      <c r="E19" s="7"/>
      <c r="F19" s="7"/>
      <c r="G19" s="7"/>
      <c r="H19" s="7"/>
      <c r="I19" s="1"/>
      <c r="J19" s="1"/>
      <c r="K19" s="1"/>
      <c r="L19" s="1"/>
    </row>
    <row r="20" spans="1:14" customFormat="1" ht="26.25" customHeight="1" x14ac:dyDescent="0.5">
      <c r="A20" s="5" t="s">
        <v>13</v>
      </c>
      <c r="B20" s="645" t="s">
        <v>127</v>
      </c>
      <c r="C20" s="645"/>
      <c r="D20" s="7"/>
      <c r="E20" s="7"/>
      <c r="F20" s="7"/>
      <c r="G20" s="7"/>
      <c r="H20" s="7"/>
      <c r="I20" s="1"/>
      <c r="J20" s="1"/>
      <c r="K20" s="1"/>
      <c r="L20" s="1"/>
    </row>
    <row r="21" spans="1:14" customFormat="1" ht="26.25" customHeight="1" x14ac:dyDescent="0.5">
      <c r="A21" s="5" t="s">
        <v>14</v>
      </c>
      <c r="B21" s="645" t="s">
        <v>130</v>
      </c>
      <c r="C21" s="645"/>
      <c r="D21" s="645"/>
      <c r="E21" s="645"/>
      <c r="F21" s="645"/>
      <c r="G21" s="645"/>
      <c r="H21" s="645"/>
      <c r="I21" s="9"/>
      <c r="J21" s="1"/>
      <c r="K21" s="1"/>
      <c r="L21" s="1"/>
    </row>
    <row r="22" spans="1:14" customFormat="1" ht="26.25" customHeight="1" x14ac:dyDescent="0.5">
      <c r="A22" s="5" t="s">
        <v>15</v>
      </c>
      <c r="B22" s="10">
        <v>42495.458773148152</v>
      </c>
      <c r="C22" s="7"/>
      <c r="D22" s="7"/>
      <c r="E22" s="7"/>
      <c r="F22" s="7"/>
      <c r="G22" s="7"/>
      <c r="H22" s="7"/>
      <c r="I22" s="1"/>
      <c r="J22" s="1"/>
      <c r="K22" s="1"/>
      <c r="L22" s="1"/>
    </row>
    <row r="23" spans="1:14" customFormat="1" ht="26.25" customHeight="1" x14ac:dyDescent="0.5">
      <c r="A23" s="5" t="s">
        <v>16</v>
      </c>
      <c r="B23" s="10">
        <v>42500.458773148152</v>
      </c>
      <c r="C23" s="7"/>
      <c r="D23" s="7"/>
      <c r="E23" s="7"/>
      <c r="F23" s="7"/>
      <c r="G23" s="7"/>
      <c r="H23" s="7"/>
      <c r="I23" s="1"/>
      <c r="J23" s="1"/>
      <c r="K23" s="1"/>
      <c r="L23" s="1"/>
    </row>
    <row r="24" spans="1:14" customFormat="1" ht="18" x14ac:dyDescent="0.35">
      <c r="A24" s="5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2" t="s">
        <v>0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13" t="s">
        <v>1</v>
      </c>
      <c r="B26" s="671" t="s">
        <v>131</v>
      </c>
      <c r="C26" s="483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14" t="s">
        <v>25</v>
      </c>
      <c r="B27" s="648" t="s">
        <v>100</v>
      </c>
      <c r="C27" s="483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thickBot="1" x14ac:dyDescent="0.5">
      <c r="A28" s="14" t="s">
        <v>2</v>
      </c>
      <c r="B28" s="15">
        <v>99.3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73" customFormat="1" ht="27" customHeight="1" thickBot="1" x14ac:dyDescent="0.55000000000000004">
      <c r="A29" s="14" t="s">
        <v>26</v>
      </c>
      <c r="B29" s="16">
        <v>0</v>
      </c>
      <c r="C29" s="769" t="s">
        <v>27</v>
      </c>
      <c r="D29" s="770"/>
      <c r="E29" s="770"/>
      <c r="F29" s="770"/>
      <c r="G29" s="771"/>
      <c r="H29" s="2"/>
      <c r="I29" s="17"/>
      <c r="J29" s="17"/>
      <c r="K29" s="17"/>
      <c r="L29" s="17"/>
    </row>
    <row r="30" spans="1:14" s="573" customFormat="1" ht="19.5" customHeight="1" thickBot="1" x14ac:dyDescent="0.4">
      <c r="A30" s="14" t="s">
        <v>28</v>
      </c>
      <c r="B30" s="18">
        <f>B28-B29</f>
        <v>99.3</v>
      </c>
      <c r="C30" s="19"/>
      <c r="D30" s="19"/>
      <c r="E30" s="19"/>
      <c r="F30" s="19"/>
      <c r="G30" s="20"/>
      <c r="H30" s="2"/>
      <c r="I30" s="17"/>
      <c r="J30" s="17"/>
      <c r="K30" s="17"/>
      <c r="L30" s="17"/>
    </row>
    <row r="31" spans="1:14" s="573" customFormat="1" ht="27" customHeight="1" thickBot="1" x14ac:dyDescent="0.5">
      <c r="A31" s="14" t="s">
        <v>29</v>
      </c>
      <c r="B31" s="21">
        <v>1</v>
      </c>
      <c r="C31" s="772" t="s">
        <v>30</v>
      </c>
      <c r="D31" s="773"/>
      <c r="E31" s="773"/>
      <c r="F31" s="773"/>
      <c r="G31" s="773"/>
      <c r="H31" s="774"/>
      <c r="I31" s="17"/>
      <c r="J31" s="17"/>
      <c r="K31" s="17"/>
      <c r="L31" s="17"/>
    </row>
    <row r="32" spans="1:14" s="573" customFormat="1" ht="27" customHeight="1" thickBot="1" x14ac:dyDescent="0.5">
      <c r="A32" s="14" t="s">
        <v>31</v>
      </c>
      <c r="B32" s="21">
        <v>1</v>
      </c>
      <c r="C32" s="772" t="s">
        <v>32</v>
      </c>
      <c r="D32" s="773"/>
      <c r="E32" s="773"/>
      <c r="F32" s="773"/>
      <c r="G32" s="773"/>
      <c r="H32" s="774"/>
      <c r="I32" s="17"/>
      <c r="J32" s="17"/>
      <c r="K32" s="17"/>
      <c r="L32" s="22"/>
      <c r="M32" s="574"/>
      <c r="N32" s="575"/>
    </row>
    <row r="33" spans="1:14" s="573" customFormat="1" ht="17.25" customHeight="1" x14ac:dyDescent="0.35">
      <c r="A33" s="14"/>
      <c r="B33" s="23"/>
      <c r="C33" s="24"/>
      <c r="D33" s="24"/>
      <c r="E33" s="24"/>
      <c r="F33" s="24"/>
      <c r="G33" s="24"/>
      <c r="H33" s="24"/>
      <c r="I33" s="17"/>
      <c r="J33" s="17"/>
      <c r="K33" s="17"/>
      <c r="L33" s="22"/>
      <c r="M33" s="574"/>
      <c r="N33" s="575"/>
    </row>
    <row r="34" spans="1:14" s="573" customFormat="1" ht="18" x14ac:dyDescent="0.35">
      <c r="A34" s="14" t="s">
        <v>33</v>
      </c>
      <c r="B34" s="25">
        <f>B31/B32</f>
        <v>1</v>
      </c>
      <c r="C34" s="4" t="s">
        <v>34</v>
      </c>
      <c r="D34" s="4"/>
      <c r="E34" s="4"/>
      <c r="F34" s="4"/>
      <c r="G34" s="4"/>
      <c r="I34" s="17"/>
      <c r="J34" s="17"/>
      <c r="K34" s="17"/>
      <c r="L34" s="22"/>
      <c r="M34" s="574"/>
      <c r="N34" s="575"/>
    </row>
    <row r="35" spans="1:14" s="573" customFormat="1" ht="19.5" customHeight="1" thickBot="1" x14ac:dyDescent="0.4">
      <c r="A35" s="14"/>
      <c r="B35" s="18"/>
      <c r="C35" s="461"/>
      <c r="D35" s="461"/>
      <c r="E35" s="461"/>
      <c r="F35" s="461"/>
      <c r="G35" s="4"/>
      <c r="I35" s="17"/>
      <c r="J35" s="17"/>
      <c r="K35" s="17"/>
      <c r="L35" s="22"/>
      <c r="M35" s="574"/>
      <c r="N35" s="575"/>
    </row>
    <row r="36" spans="1:14" s="573" customFormat="1" ht="27" customHeight="1" thickBot="1" x14ac:dyDescent="0.5">
      <c r="A36" s="26" t="s">
        <v>35</v>
      </c>
      <c r="B36" s="27">
        <v>25</v>
      </c>
      <c r="C36" s="4"/>
      <c r="D36" s="794" t="s">
        <v>36</v>
      </c>
      <c r="E36" s="795"/>
      <c r="F36" s="800" t="s">
        <v>37</v>
      </c>
      <c r="G36" s="801"/>
      <c r="I36" s="657"/>
      <c r="J36" s="17"/>
      <c r="K36" s="17"/>
      <c r="L36" s="22"/>
      <c r="M36" s="574"/>
      <c r="N36" s="575"/>
    </row>
    <row r="37" spans="1:14" s="573" customFormat="1" ht="27" customHeight="1" thickBot="1" x14ac:dyDescent="0.5">
      <c r="A37" s="28" t="s">
        <v>38</v>
      </c>
      <c r="B37" s="29">
        <v>5</v>
      </c>
      <c r="C37" s="30" t="s">
        <v>39</v>
      </c>
      <c r="D37" s="31" t="s">
        <v>40</v>
      </c>
      <c r="E37" s="32" t="s">
        <v>41</v>
      </c>
      <c r="F37" s="661" t="s">
        <v>40</v>
      </c>
      <c r="G37" s="662" t="s">
        <v>41</v>
      </c>
      <c r="I37" s="658" t="s">
        <v>42</v>
      </c>
      <c r="J37" s="17"/>
      <c r="K37" s="17"/>
      <c r="L37" s="22"/>
      <c r="M37" s="574"/>
      <c r="N37" s="575"/>
    </row>
    <row r="38" spans="1:14" s="573" customFormat="1" ht="26.25" customHeight="1" x14ac:dyDescent="0.45">
      <c r="A38" s="28" t="s">
        <v>43</v>
      </c>
      <c r="B38" s="29">
        <v>50</v>
      </c>
      <c r="C38" s="34">
        <v>1</v>
      </c>
      <c r="D38" s="35">
        <v>45662253</v>
      </c>
      <c r="E38" s="36">
        <f>IF(ISBLANK(D38),"-",$D$48/$D$45*D38)</f>
        <v>47002530.147145867</v>
      </c>
      <c r="F38" s="663">
        <v>42965470</v>
      </c>
      <c r="G38" s="664">
        <f>IF(ISBLANK(F38),"-",$D$48/$F$45*F38)</f>
        <v>47013779.542636923</v>
      </c>
      <c r="I38" s="659"/>
      <c r="J38" s="17"/>
      <c r="K38" s="17"/>
      <c r="L38" s="22"/>
      <c r="M38" s="574"/>
      <c r="N38" s="575"/>
    </row>
    <row r="39" spans="1:14" s="573" customFormat="1" ht="26.25" customHeight="1" x14ac:dyDescent="0.45">
      <c r="A39" s="28" t="s">
        <v>44</v>
      </c>
      <c r="B39" s="29">
        <v>1</v>
      </c>
      <c r="C39" s="39">
        <v>2</v>
      </c>
      <c r="D39" s="40">
        <v>45597828</v>
      </c>
      <c r="E39" s="41">
        <f>IF(ISBLANK(D39),"-",$D$48/$D$45*D39)</f>
        <v>46936214.14638415</v>
      </c>
      <c r="F39" s="665">
        <v>42942842</v>
      </c>
      <c r="G39" s="666">
        <f>IF(ISBLANK(F39),"-",$D$48/$F$45*F39)</f>
        <v>46989019.47825288</v>
      </c>
      <c r="I39" s="804">
        <f>ABS((F43/D43*D42)-F42)/D42</f>
        <v>3.2606960292588962E-4</v>
      </c>
      <c r="J39" s="17"/>
      <c r="K39" s="17"/>
      <c r="L39" s="22"/>
      <c r="M39" s="574"/>
      <c r="N39" s="575"/>
    </row>
    <row r="40" spans="1:14" customFormat="1" ht="26.25" customHeight="1" x14ac:dyDescent="0.45">
      <c r="A40" s="28" t="s">
        <v>45</v>
      </c>
      <c r="B40" s="29">
        <v>1</v>
      </c>
      <c r="C40" s="39">
        <v>3</v>
      </c>
      <c r="D40" s="40">
        <v>45584053</v>
      </c>
      <c r="E40" s="41">
        <f>IF(ISBLANK(D40),"-",$D$48/$D$45*D40)</f>
        <v>46922034.8229772</v>
      </c>
      <c r="F40" s="665">
        <v>42867707</v>
      </c>
      <c r="G40" s="666">
        <f>IF(ISBLANK(F40),"-",$D$48/$F$45*F40)</f>
        <v>46906805.078504987</v>
      </c>
      <c r="H40" s="577"/>
      <c r="I40" s="804"/>
      <c r="J40" s="1"/>
      <c r="K40" s="1"/>
      <c r="L40" s="22"/>
      <c r="M40" s="22"/>
      <c r="N40" s="43"/>
    </row>
    <row r="41" spans="1:14" customFormat="1" ht="27" customHeight="1" thickBot="1" x14ac:dyDescent="0.5">
      <c r="A41" s="28" t="s">
        <v>46</v>
      </c>
      <c r="B41" s="29">
        <v>1</v>
      </c>
      <c r="C41" s="44">
        <v>4</v>
      </c>
      <c r="D41" s="45"/>
      <c r="E41" s="46" t="str">
        <f>IF(ISBLANK(D41),"-",$D$48/$D$45*D41)</f>
        <v>-</v>
      </c>
      <c r="F41" s="667"/>
      <c r="G41" s="668" t="str">
        <f>IF(ISBLANK(F41),"-",$D$48/$F$45*F41)</f>
        <v>-</v>
      </c>
      <c r="H41" s="1"/>
      <c r="I41" s="48"/>
      <c r="J41" s="1"/>
      <c r="K41" s="1"/>
      <c r="L41" s="22"/>
      <c r="M41" s="22"/>
      <c r="N41" s="43"/>
    </row>
    <row r="42" spans="1:14" customFormat="1" ht="27" customHeight="1" thickBot="1" x14ac:dyDescent="0.5">
      <c r="A42" s="28" t="s">
        <v>47</v>
      </c>
      <c r="B42" s="29">
        <v>1</v>
      </c>
      <c r="C42" s="49" t="s">
        <v>48</v>
      </c>
      <c r="D42" s="50">
        <f>AVERAGE(D38:D41)</f>
        <v>45614711.333333336</v>
      </c>
      <c r="E42" s="51">
        <f>AVERAGE(E38:E41)</f>
        <v>46953593.038835742</v>
      </c>
      <c r="F42" s="669">
        <f>AVERAGE(F38:F41)</f>
        <v>42925339.666666664</v>
      </c>
      <c r="G42" s="670">
        <f>AVERAGE(G38:G41)</f>
        <v>46969868.033131599</v>
      </c>
      <c r="H42" s="52"/>
      <c r="I42" s="1"/>
      <c r="J42" s="1"/>
      <c r="K42" s="1"/>
      <c r="L42" s="1"/>
    </row>
    <row r="43" spans="1:14" customFormat="1" ht="26.25" customHeight="1" x14ac:dyDescent="0.45">
      <c r="A43" s="28" t="s">
        <v>49</v>
      </c>
      <c r="B43" s="29">
        <v>1</v>
      </c>
      <c r="C43" s="53" t="s">
        <v>50</v>
      </c>
      <c r="D43" s="54">
        <v>29.35</v>
      </c>
      <c r="E43" s="43"/>
      <c r="F43" s="660">
        <v>27.61</v>
      </c>
      <c r="G43" s="1"/>
      <c r="H43" s="52"/>
      <c r="I43" s="1"/>
      <c r="J43" s="1"/>
      <c r="K43" s="1"/>
      <c r="L43" s="1"/>
    </row>
    <row r="44" spans="1:14" customFormat="1" ht="26.25" customHeight="1" x14ac:dyDescent="0.45">
      <c r="A44" s="28" t="s">
        <v>51</v>
      </c>
      <c r="B44" s="29">
        <v>1</v>
      </c>
      <c r="C44" s="55" t="s">
        <v>52</v>
      </c>
      <c r="D44" s="56">
        <f>D43*$B$34</f>
        <v>29.35</v>
      </c>
      <c r="E44" s="57"/>
      <c r="F44" s="56">
        <f>F43*$B$34</f>
        <v>27.61</v>
      </c>
      <c r="G44" s="1"/>
      <c r="H44" s="52"/>
      <c r="I44" s="1"/>
      <c r="J44" s="1"/>
      <c r="K44" s="1"/>
      <c r="L44" s="1"/>
    </row>
    <row r="45" spans="1:14" customFormat="1" ht="19.5" customHeight="1" thickBot="1" x14ac:dyDescent="0.4">
      <c r="A45" s="28" t="s">
        <v>53</v>
      </c>
      <c r="B45" s="58">
        <f>(B44/B43)*(B42/B41)*(B40/B39)*(B38/B37)*B36</f>
        <v>250</v>
      </c>
      <c r="C45" s="55" t="s">
        <v>54</v>
      </c>
      <c r="D45" s="59">
        <f>D44*$B$30/100</f>
        <v>29.144549999999999</v>
      </c>
      <c r="E45" s="60"/>
      <c r="F45" s="59">
        <f>F44*$B$30/100</f>
        <v>27.416729999999998</v>
      </c>
      <c r="G45" s="1"/>
      <c r="H45" s="52"/>
      <c r="I45" s="1"/>
      <c r="J45" s="1"/>
      <c r="K45" s="1"/>
      <c r="L45" s="1"/>
    </row>
    <row r="46" spans="1:14" customFormat="1" ht="19.5" customHeight="1" thickBot="1" x14ac:dyDescent="0.4">
      <c r="A46" s="783" t="s">
        <v>55</v>
      </c>
      <c r="B46" s="784"/>
      <c r="C46" s="55" t="s">
        <v>56</v>
      </c>
      <c r="D46" s="61">
        <f>D45/$B$45</f>
        <v>0.11657819999999999</v>
      </c>
      <c r="E46" s="62"/>
      <c r="F46" s="63">
        <f>F45/$B$45</f>
        <v>0.10966691999999999</v>
      </c>
      <c r="G46" s="1"/>
      <c r="H46" s="52"/>
      <c r="I46" s="1"/>
      <c r="J46" s="1"/>
      <c r="K46" s="1"/>
      <c r="L46" s="1"/>
    </row>
    <row r="47" spans="1:14" customFormat="1" ht="27" customHeight="1" thickBot="1" x14ac:dyDescent="0.5">
      <c r="A47" s="785"/>
      <c r="B47" s="786"/>
      <c r="C47" s="64" t="s">
        <v>57</v>
      </c>
      <c r="D47" s="65">
        <v>0.12</v>
      </c>
      <c r="E47" s="66"/>
      <c r="F47" s="62"/>
      <c r="G47" s="1"/>
      <c r="H47" s="52"/>
      <c r="I47" s="1"/>
      <c r="J47" s="1"/>
      <c r="K47" s="1"/>
      <c r="L47" s="1"/>
    </row>
    <row r="48" spans="1:14" customFormat="1" ht="18" x14ac:dyDescent="0.35">
      <c r="A48" s="1"/>
      <c r="B48" s="1"/>
      <c r="C48" s="67" t="s">
        <v>58</v>
      </c>
      <c r="D48" s="59">
        <f>D47*$B$45</f>
        <v>30</v>
      </c>
      <c r="E48" s="1"/>
      <c r="F48" s="68"/>
      <c r="G48" s="1"/>
      <c r="H48" s="52"/>
      <c r="I48" s="1"/>
      <c r="J48" s="1"/>
      <c r="K48" s="1"/>
      <c r="L48" s="1"/>
    </row>
    <row r="49" spans="1:12" customFormat="1" ht="19.5" customHeight="1" thickBot="1" x14ac:dyDescent="0.4">
      <c r="A49" s="1"/>
      <c r="B49" s="1"/>
      <c r="C49" s="69" t="s">
        <v>59</v>
      </c>
      <c r="D49" s="70">
        <f>D48/B34</f>
        <v>30</v>
      </c>
      <c r="E49" s="1"/>
      <c r="F49" s="68"/>
      <c r="G49" s="1"/>
      <c r="H49" s="52"/>
      <c r="I49" s="1"/>
      <c r="J49" s="1"/>
      <c r="K49" s="1"/>
      <c r="L49" s="1"/>
    </row>
    <row r="50" spans="1:12" customFormat="1" ht="18" x14ac:dyDescent="0.35">
      <c r="A50" s="1"/>
      <c r="B50" s="1"/>
      <c r="C50" s="26" t="s">
        <v>60</v>
      </c>
      <c r="D50" s="71">
        <f>AVERAGE(E38:E41,G38:G41)</f>
        <v>46961730.535983674</v>
      </c>
      <c r="E50" s="1"/>
      <c r="F50" s="72"/>
      <c r="G50" s="1"/>
      <c r="H50" s="52"/>
      <c r="I50" s="1"/>
      <c r="J50" s="1"/>
      <c r="K50" s="1"/>
      <c r="L50" s="1"/>
    </row>
    <row r="51" spans="1:12" customFormat="1" ht="18" x14ac:dyDescent="0.35">
      <c r="A51" s="1"/>
      <c r="B51" s="1"/>
      <c r="C51" s="28" t="s">
        <v>61</v>
      </c>
      <c r="D51" s="73">
        <f>STDEV(E38:E41,G38:G41)/D50</f>
        <v>9.6937862911232442E-4</v>
      </c>
      <c r="E51" s="1"/>
      <c r="F51" s="72"/>
      <c r="G51" s="1"/>
      <c r="H51" s="52"/>
      <c r="I51" s="1"/>
      <c r="J51" s="1"/>
      <c r="K51" s="1"/>
      <c r="L51" s="1"/>
    </row>
    <row r="52" spans="1:12" customFormat="1" ht="19.5" customHeight="1" thickBot="1" x14ac:dyDescent="0.4">
      <c r="A52" s="1"/>
      <c r="B52" s="1"/>
      <c r="C52" s="74" t="s">
        <v>3</v>
      </c>
      <c r="D52" s="75">
        <f>COUNT(E38:E41,G38:G41)</f>
        <v>6</v>
      </c>
      <c r="E52" s="1"/>
      <c r="F52" s="72"/>
      <c r="G52" s="1"/>
      <c r="H52" s="1"/>
      <c r="I52" s="1"/>
      <c r="J52" s="1"/>
      <c r="K52" s="1"/>
      <c r="L52" s="1"/>
    </row>
    <row r="53" spans="1:1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customFormat="1" ht="18" x14ac:dyDescent="0.35">
      <c r="A54" s="76" t="s">
        <v>0</v>
      </c>
      <c r="B54" s="77" t="s">
        <v>62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customFormat="1" ht="18" x14ac:dyDescent="0.35">
      <c r="A55" s="4" t="s">
        <v>63</v>
      </c>
      <c r="B55" s="78" t="str">
        <f>B21</f>
        <v>Each film-coated tablet contains Efavirenz 600 mg, Lamivudine USP 300 mg, Tenofovir Disoproxil Fumarate 300 mg equivalent to tenofovir disoproxil 245 mg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26.25" customHeight="1" x14ac:dyDescent="0.45">
      <c r="A56" s="79" t="s">
        <v>64</v>
      </c>
      <c r="B56" s="80">
        <v>600</v>
      </c>
      <c r="C56" s="4" t="str">
        <f>B20</f>
        <v>Efavirenz 600 mg, Lamivudine 300 mg and Tenofovir Disoproxil Fumarate 300 mg Tablets</v>
      </c>
      <c r="H56" s="81"/>
    </row>
    <row r="57" spans="1:12" ht="18" x14ac:dyDescent="0.35">
      <c r="A57" s="78" t="s">
        <v>138</v>
      </c>
      <c r="B57" s="164">
        <f>'Uniformity '!C44</f>
        <v>1891.6979999999999</v>
      </c>
      <c r="G57" s="652">
        <f>D47*F60/D50*B68*B69/D60/B56</f>
        <v>0.93539646020783385</v>
      </c>
      <c r="H57" s="81"/>
      <c r="K57" s="577"/>
    </row>
    <row r="58" spans="1:12" ht="19.5" customHeight="1" thickBot="1" x14ac:dyDescent="0.4">
      <c r="H58" s="81"/>
      <c r="K58" s="577"/>
    </row>
    <row r="59" spans="1:12" s="573" customFormat="1" ht="27" customHeight="1" thickBot="1" x14ac:dyDescent="0.5">
      <c r="A59" s="26" t="s">
        <v>65</v>
      </c>
      <c r="B59" s="27">
        <v>200</v>
      </c>
      <c r="C59" s="4"/>
      <c r="D59" s="82" t="s">
        <v>66</v>
      </c>
      <c r="E59" s="83" t="s">
        <v>39</v>
      </c>
      <c r="F59" s="83" t="s">
        <v>40</v>
      </c>
      <c r="G59" s="83" t="s">
        <v>67</v>
      </c>
      <c r="H59" s="30" t="s">
        <v>68</v>
      </c>
      <c r="I59" s="2"/>
      <c r="L59" s="17"/>
    </row>
    <row r="60" spans="1:12" s="573" customFormat="1" ht="26.25" customHeight="1" x14ac:dyDescent="0.45">
      <c r="A60" s="28" t="s">
        <v>69</v>
      </c>
      <c r="B60" s="29">
        <v>5</v>
      </c>
      <c r="C60" s="775" t="s">
        <v>70</v>
      </c>
      <c r="D60" s="778">
        <v>1889.27</v>
      </c>
      <c r="E60" s="84">
        <v>1</v>
      </c>
      <c r="F60" s="85">
        <v>43871455</v>
      </c>
      <c r="G60" s="165">
        <f>IF(ISBLANK(F60),"-",(F60/$D$50*$D$47*$B$68)*($B$57/$D$60))</f>
        <v>561.23787612470028</v>
      </c>
      <c r="H60" s="86">
        <f>IF(ISBLANK(F60),"-",G60/$B$56)</f>
        <v>0.93539646020783385</v>
      </c>
      <c r="I60" s="2"/>
      <c r="L60" s="17"/>
    </row>
    <row r="61" spans="1:12" s="573" customFormat="1" ht="26.25" customHeight="1" x14ac:dyDescent="0.45">
      <c r="A61" s="28" t="s">
        <v>71</v>
      </c>
      <c r="B61" s="29">
        <v>50</v>
      </c>
      <c r="C61" s="776"/>
      <c r="D61" s="779"/>
      <c r="E61" s="87">
        <v>2</v>
      </c>
      <c r="F61" s="40">
        <v>44040443</v>
      </c>
      <c r="G61" s="166">
        <f>IF(ISBLANK(F61),"-",(F61/$D$50*$D$47*$B$68)*($B$57/$D$60))</f>
        <v>563.39970244686265</v>
      </c>
      <c r="H61" s="88">
        <f>IF(ISBLANK(F61),"-",G61/$B$56)</f>
        <v>0.9389995040781044</v>
      </c>
      <c r="I61" s="2"/>
      <c r="L61" s="17"/>
    </row>
    <row r="62" spans="1:12" s="573" customFormat="1" ht="26.25" customHeight="1" x14ac:dyDescent="0.45">
      <c r="A62" s="28" t="s">
        <v>72</v>
      </c>
      <c r="B62" s="29">
        <v>10</v>
      </c>
      <c r="C62" s="776"/>
      <c r="D62" s="779"/>
      <c r="E62" s="87">
        <v>3</v>
      </c>
      <c r="F62" s="89">
        <v>43702748</v>
      </c>
      <c r="G62" s="166">
        <f>IF(ISBLANK(F62),"-",(F62/$D$50*$D$47*$B$68)*($B$57/$D$60))</f>
        <v>559.07964457374374</v>
      </c>
      <c r="H62" s="88">
        <f>IF(ISBLANK(F62),"-",G62/$B$56)</f>
        <v>0.93179940762290625</v>
      </c>
      <c r="I62" s="2"/>
      <c r="L62" s="17"/>
    </row>
    <row r="63" spans="1:12" ht="27" customHeight="1" thickBot="1" x14ac:dyDescent="0.5">
      <c r="A63" s="28" t="s">
        <v>73</v>
      </c>
      <c r="B63" s="29">
        <v>25</v>
      </c>
      <c r="C63" s="777"/>
      <c r="D63" s="780"/>
      <c r="E63" s="90">
        <v>4</v>
      </c>
      <c r="F63" s="91"/>
      <c r="G63" s="166" t="str">
        <f>IF(ISBLANK(F63),"-",(F63/$D$50*$D$47*$B$68)*($B$57/$D$60))</f>
        <v>-</v>
      </c>
      <c r="H63" s="88" t="str">
        <f t="shared" ref="H63:H71" si="0">IF(ISBLANK(F63),"-",G63/$B$56)</f>
        <v>-</v>
      </c>
      <c r="J63" s="577"/>
      <c r="K63" s="577"/>
    </row>
    <row r="64" spans="1:12" ht="26.25" customHeight="1" x14ac:dyDescent="0.45">
      <c r="A64" s="28" t="s">
        <v>74</v>
      </c>
      <c r="B64" s="29">
        <v>1</v>
      </c>
      <c r="C64" s="775" t="s">
        <v>75</v>
      </c>
      <c r="D64" s="778">
        <v>1893.41</v>
      </c>
      <c r="E64" s="84">
        <v>1</v>
      </c>
      <c r="F64" s="85">
        <v>44683090</v>
      </c>
      <c r="G64" s="167">
        <f>IF(ISBLANK(F64),"-",(F64/$D$50*$D$47*$B$68)*($B$57/$D$64))</f>
        <v>570.37107717739036</v>
      </c>
      <c r="H64" s="92">
        <f>IF(ISBLANK(F64),"-",G64/$B$56)</f>
        <v>0.95061846196231725</v>
      </c>
    </row>
    <row r="65" spans="1:12" ht="26.25" customHeight="1" x14ac:dyDescent="0.45">
      <c r="A65" s="28" t="s">
        <v>76</v>
      </c>
      <c r="B65" s="29">
        <v>1</v>
      </c>
      <c r="C65" s="776"/>
      <c r="D65" s="779"/>
      <c r="E65" s="87">
        <v>2</v>
      </c>
      <c r="F65" s="40">
        <v>44578612</v>
      </c>
      <c r="G65" s="168">
        <f>IF(ISBLANK(F65),"-",(F65/$D$50*$D$47*$B$68)*($B$57/$D$64))</f>
        <v>569.03743553798404</v>
      </c>
      <c r="H65" s="93">
        <f>IF(ISBLANK(F65),"-",G65/$B$56)</f>
        <v>0.94839572589664012</v>
      </c>
    </row>
    <row r="66" spans="1:12" ht="26.25" customHeight="1" x14ac:dyDescent="0.45">
      <c r="A66" s="28" t="s">
        <v>77</v>
      </c>
      <c r="B66" s="29">
        <v>1</v>
      </c>
      <c r="C66" s="776"/>
      <c r="D66" s="779"/>
      <c r="E66" s="87">
        <v>3</v>
      </c>
      <c r="F66" s="40">
        <v>44535415</v>
      </c>
      <c r="G66" s="168">
        <f>IF(ISBLANK(F66),"-",(F66/$D$50*$D$47*$B$68)*($B$57/$D$64))</f>
        <v>568.48603411474244</v>
      </c>
      <c r="H66" s="93">
        <f>IF(ISBLANK(F66),"-",G66/$B$56)</f>
        <v>0.94747672352457069</v>
      </c>
    </row>
    <row r="67" spans="1:12" ht="27" customHeight="1" thickBot="1" x14ac:dyDescent="0.5">
      <c r="A67" s="28" t="s">
        <v>78</v>
      </c>
      <c r="B67" s="29">
        <v>1</v>
      </c>
      <c r="C67" s="777"/>
      <c r="D67" s="780"/>
      <c r="E67" s="90">
        <v>4</v>
      </c>
      <c r="F67" s="91"/>
      <c r="G67" s="169" t="str">
        <f>IF(ISBLANK(F67),"-",(F67/$D$50*$D$47*$B$68)*($B$57/$D$64))</f>
        <v>-</v>
      </c>
      <c r="H67" s="94" t="str">
        <f t="shared" si="0"/>
        <v>-</v>
      </c>
    </row>
    <row r="68" spans="1:12" ht="26.25" customHeight="1" x14ac:dyDescent="0.5">
      <c r="A68" s="28" t="s">
        <v>79</v>
      </c>
      <c r="B68" s="95">
        <f>(B67/B66)*(B65/B64)*(B63/B62)*(B61/B60)*B59</f>
        <v>5000</v>
      </c>
      <c r="C68" s="775" t="s">
        <v>80</v>
      </c>
      <c r="D68" s="778">
        <v>1890.6</v>
      </c>
      <c r="E68" s="84">
        <v>1</v>
      </c>
      <c r="F68" s="85">
        <v>45130962</v>
      </c>
      <c r="G68" s="167">
        <f>IF(ISBLANK(F68),"-",(F68/$D$50*$D$47*$B$68)*($B$57/$D$68))</f>
        <v>576.94431747223859</v>
      </c>
      <c r="H68" s="88">
        <f t="shared" si="0"/>
        <v>0.961573862453731</v>
      </c>
    </row>
    <row r="69" spans="1:12" ht="27" customHeight="1" thickBot="1" x14ac:dyDescent="0.55000000000000004">
      <c r="A69" s="74" t="s">
        <v>81</v>
      </c>
      <c r="B69" s="96">
        <f>(D47*B68)/B56*B57</f>
        <v>1891.6979999999999</v>
      </c>
      <c r="C69" s="776"/>
      <c r="D69" s="779"/>
      <c r="E69" s="87">
        <v>2</v>
      </c>
      <c r="F69" s="40">
        <v>45073424</v>
      </c>
      <c r="G69" s="168">
        <f>IF(ISBLANK(F69),"-",(F69/$D$50*$D$47*$B$68)*($B$57/$D$68))</f>
        <v>576.2087643028043</v>
      </c>
      <c r="H69" s="88">
        <f t="shared" si="0"/>
        <v>0.96034794050467387</v>
      </c>
    </row>
    <row r="70" spans="1:12" ht="26.25" customHeight="1" x14ac:dyDescent="0.45">
      <c r="A70" s="789" t="s">
        <v>55</v>
      </c>
      <c r="B70" s="790"/>
      <c r="C70" s="776"/>
      <c r="D70" s="779"/>
      <c r="E70" s="87">
        <v>3</v>
      </c>
      <c r="F70" s="40">
        <v>45077869</v>
      </c>
      <c r="G70" s="168">
        <f>IF(ISBLANK(F70),"-",(F70/$D$50*$D$47*$B$68)*($B$57/$D$68))</f>
        <v>576.26558820766945</v>
      </c>
      <c r="H70" s="88">
        <f t="shared" si="0"/>
        <v>0.96044264701278237</v>
      </c>
    </row>
    <row r="71" spans="1:12" ht="27" customHeight="1" thickBot="1" x14ac:dyDescent="0.5">
      <c r="A71" s="791"/>
      <c r="B71" s="792"/>
      <c r="C71" s="788"/>
      <c r="D71" s="780"/>
      <c r="E71" s="90">
        <v>4</v>
      </c>
      <c r="F71" s="91"/>
      <c r="G71" s="169" t="str">
        <f>IF(ISBLANK(F71),"-",(F71/$D$50*$D$47*$B$68)*($B$57/$D$68))</f>
        <v>-</v>
      </c>
      <c r="H71" s="97" t="str">
        <f t="shared" si="0"/>
        <v>-</v>
      </c>
    </row>
    <row r="72" spans="1:12" ht="26.25" customHeight="1" x14ac:dyDescent="0.45">
      <c r="A72" s="98"/>
      <c r="B72" s="98"/>
      <c r="C72" s="98"/>
      <c r="D72" s="98"/>
      <c r="E72" s="98"/>
      <c r="F72" s="100" t="s">
        <v>48</v>
      </c>
      <c r="G72" s="174">
        <f>AVERAGE(G60:G71)</f>
        <v>569.00338221757067</v>
      </c>
      <c r="H72" s="101">
        <f>AVERAGE(H60:H71)</f>
        <v>0.94833897036261783</v>
      </c>
    </row>
    <row r="73" spans="1:12" ht="26.25" customHeight="1" x14ac:dyDescent="0.45">
      <c r="C73" s="98"/>
      <c r="D73" s="98"/>
      <c r="E73" s="98"/>
      <c r="F73" s="102" t="s">
        <v>61</v>
      </c>
      <c r="G73" s="170">
        <f>STDEV(G60:G71)/G72</f>
        <v>1.1790045302804973E-2</v>
      </c>
      <c r="H73" s="170">
        <f>STDEV(H60:H71)/H72</f>
        <v>1.1790045302804961E-2</v>
      </c>
    </row>
    <row r="74" spans="1:12" ht="27" customHeight="1" thickBot="1" x14ac:dyDescent="0.5">
      <c r="A74" s="98"/>
      <c r="B74" s="98"/>
      <c r="C74" s="99"/>
      <c r="D74" s="99"/>
      <c r="E74" s="103"/>
      <c r="F74" s="104" t="s">
        <v>3</v>
      </c>
      <c r="G74" s="105">
        <f>COUNT(G60:G71)</f>
        <v>9</v>
      </c>
      <c r="H74" s="105">
        <f>COUNT(H60:H71)</f>
        <v>9</v>
      </c>
    </row>
    <row r="76" spans="1:12" ht="26.25" customHeight="1" x14ac:dyDescent="0.45">
      <c r="A76" s="13" t="s">
        <v>82</v>
      </c>
      <c r="B76" s="106" t="s">
        <v>83</v>
      </c>
      <c r="C76" s="793" t="str">
        <f>B26</f>
        <v>EFAVIRENZ</v>
      </c>
      <c r="D76" s="793"/>
      <c r="E76" s="107" t="s">
        <v>84</v>
      </c>
      <c r="F76" s="107"/>
      <c r="G76" s="108">
        <f>H72</f>
        <v>0.94833897036261783</v>
      </c>
      <c r="H76" s="109"/>
    </row>
    <row r="77" spans="1:12" ht="26.25" customHeight="1" x14ac:dyDescent="0.45">
      <c r="A77" s="516"/>
      <c r="B77" s="472"/>
      <c r="C77" s="701"/>
      <c r="D77" s="701"/>
      <c r="E77" s="461"/>
      <c r="F77" s="461"/>
      <c r="G77" s="462"/>
      <c r="H77" s="701"/>
      <c r="I77" s="483"/>
      <c r="J77" s="483"/>
      <c r="K77" s="483"/>
      <c r="L77" s="483"/>
    </row>
    <row r="78" spans="1:12" ht="18" x14ac:dyDescent="0.35">
      <c r="A78" s="365" t="s">
        <v>85</v>
      </c>
      <c r="B78" s="365" t="s">
        <v>86</v>
      </c>
      <c r="C78" s="483"/>
      <c r="D78" s="483"/>
      <c r="E78" s="483"/>
      <c r="F78" s="483"/>
      <c r="G78" s="483"/>
      <c r="H78" s="483"/>
    </row>
    <row r="79" spans="1:12" ht="18" x14ac:dyDescent="0.35">
      <c r="A79" s="365"/>
      <c r="B79" s="365"/>
      <c r="C79" s="483"/>
      <c r="D79" s="483"/>
      <c r="E79" s="483"/>
      <c r="F79" s="483"/>
      <c r="G79" s="483"/>
      <c r="H79" s="483"/>
    </row>
    <row r="80" spans="1:12" ht="26.25" customHeight="1" x14ac:dyDescent="0.45">
      <c r="A80" s="516" t="s">
        <v>1</v>
      </c>
      <c r="B80" s="464" t="str">
        <f>B26</f>
        <v>EFAVIRENZ</v>
      </c>
      <c r="C80" s="483"/>
      <c r="D80" s="483"/>
      <c r="E80" s="483"/>
      <c r="F80" s="483"/>
      <c r="G80" s="483"/>
      <c r="H80" s="483"/>
    </row>
    <row r="81" spans="1:12" ht="26.25" customHeight="1" x14ac:dyDescent="0.45">
      <c r="A81" s="472" t="s">
        <v>25</v>
      </c>
      <c r="B81" s="464" t="str">
        <f>B27</f>
        <v>E15-3</v>
      </c>
      <c r="C81" s="483"/>
      <c r="D81" s="483"/>
      <c r="E81" s="483"/>
      <c r="F81" s="483"/>
      <c r="G81" s="483"/>
      <c r="H81" s="483"/>
    </row>
    <row r="82" spans="1:12" ht="27" customHeight="1" thickBot="1" x14ac:dyDescent="0.5">
      <c r="A82" s="472" t="s">
        <v>2</v>
      </c>
      <c r="B82" s="464">
        <f>B28</f>
        <v>99.3</v>
      </c>
      <c r="C82" s="483"/>
      <c r="D82" s="483"/>
      <c r="E82" s="483"/>
      <c r="F82" s="483"/>
      <c r="G82" s="483"/>
      <c r="H82" s="483"/>
      <c r="I82" s="483"/>
      <c r="J82" s="483"/>
      <c r="K82" s="483"/>
      <c r="L82" s="483"/>
    </row>
    <row r="83" spans="1:12" s="573" customFormat="1" ht="27" customHeight="1" thickBot="1" x14ac:dyDescent="0.55000000000000004">
      <c r="A83" s="472" t="s">
        <v>26</v>
      </c>
      <c r="B83" s="369">
        <v>0</v>
      </c>
      <c r="C83" s="769" t="s">
        <v>27</v>
      </c>
      <c r="D83" s="770"/>
      <c r="E83" s="770"/>
      <c r="F83" s="770"/>
      <c r="G83" s="771"/>
      <c r="H83" s="483"/>
      <c r="I83" s="370"/>
      <c r="J83" s="370"/>
      <c r="K83" s="370"/>
      <c r="L83" s="370"/>
    </row>
    <row r="84" spans="1:12" s="573" customFormat="1" ht="19.5" customHeight="1" thickBot="1" x14ac:dyDescent="0.4">
      <c r="A84" s="472" t="s">
        <v>28</v>
      </c>
      <c r="B84" s="701">
        <f>B82-B83</f>
        <v>99.3</v>
      </c>
      <c r="C84" s="372"/>
      <c r="D84" s="372"/>
      <c r="E84" s="372"/>
      <c r="F84" s="372"/>
      <c r="G84" s="373"/>
      <c r="H84" s="483"/>
      <c r="I84" s="370"/>
      <c r="J84" s="370"/>
      <c r="K84" s="370"/>
      <c r="L84" s="370"/>
    </row>
    <row r="85" spans="1:12" s="573" customFormat="1" ht="27" customHeight="1" thickBot="1" x14ac:dyDescent="0.5">
      <c r="A85" s="472" t="s">
        <v>29</v>
      </c>
      <c r="B85" s="374">
        <v>1</v>
      </c>
      <c r="C85" s="772" t="s">
        <v>87</v>
      </c>
      <c r="D85" s="773"/>
      <c r="E85" s="773"/>
      <c r="F85" s="773"/>
      <c r="G85" s="773"/>
      <c r="H85" s="774"/>
      <c r="I85" s="370"/>
      <c r="J85" s="370"/>
      <c r="K85" s="370"/>
      <c r="L85" s="370"/>
    </row>
    <row r="86" spans="1:12" s="573" customFormat="1" ht="27" customHeight="1" thickBot="1" x14ac:dyDescent="0.5">
      <c r="A86" s="472" t="s">
        <v>31</v>
      </c>
      <c r="B86" s="374">
        <v>1</v>
      </c>
      <c r="C86" s="772" t="s">
        <v>88</v>
      </c>
      <c r="D86" s="773"/>
      <c r="E86" s="773"/>
      <c r="F86" s="773"/>
      <c r="G86" s="773"/>
      <c r="H86" s="774"/>
      <c r="I86" s="370"/>
      <c r="J86" s="370"/>
      <c r="K86" s="370"/>
      <c r="L86" s="370"/>
    </row>
    <row r="87" spans="1:12" s="573" customFormat="1" ht="18" x14ac:dyDescent="0.35">
      <c r="A87" s="472"/>
      <c r="B87" s="375"/>
      <c r="C87" s="376"/>
      <c r="D87" s="376"/>
      <c r="E87" s="376"/>
      <c r="F87" s="376"/>
      <c r="G87" s="376"/>
      <c r="H87" s="376"/>
      <c r="I87" s="370"/>
      <c r="J87" s="370"/>
      <c r="K87" s="370"/>
      <c r="L87" s="370"/>
    </row>
    <row r="88" spans="1:12" s="573" customFormat="1" ht="18" x14ac:dyDescent="0.35">
      <c r="A88" s="472" t="s">
        <v>33</v>
      </c>
      <c r="B88" s="377">
        <f>B85/B86</f>
        <v>1</v>
      </c>
      <c r="C88" s="461" t="s">
        <v>34</v>
      </c>
      <c r="D88" s="461"/>
      <c r="E88" s="461"/>
      <c r="F88" s="461"/>
      <c r="G88" s="461"/>
      <c r="I88" s="370"/>
      <c r="J88" s="370"/>
      <c r="K88" s="370"/>
      <c r="L88" s="370"/>
    </row>
    <row r="89" spans="1:12" ht="19.5" customHeight="1" thickBot="1" x14ac:dyDescent="0.4">
      <c r="A89" s="365"/>
      <c r="B89" s="365"/>
      <c r="C89" s="483"/>
      <c r="D89" s="483"/>
      <c r="E89" s="483"/>
      <c r="F89" s="483"/>
      <c r="G89" s="483"/>
      <c r="H89" s="483"/>
      <c r="I89" s="483"/>
      <c r="J89" s="483"/>
      <c r="K89" s="483"/>
      <c r="L89" s="483"/>
    </row>
    <row r="90" spans="1:12" ht="27" customHeight="1" thickBot="1" x14ac:dyDescent="0.5">
      <c r="A90" s="26" t="s">
        <v>35</v>
      </c>
      <c r="B90" s="27">
        <v>25</v>
      </c>
      <c r="D90" s="110" t="s">
        <v>36</v>
      </c>
      <c r="E90" s="111"/>
      <c r="F90" s="794" t="s">
        <v>37</v>
      </c>
      <c r="G90" s="796"/>
    </row>
    <row r="91" spans="1:12" ht="27" customHeight="1" thickBot="1" x14ac:dyDescent="0.5">
      <c r="A91" s="28" t="s">
        <v>38</v>
      </c>
      <c r="B91" s="29">
        <v>10</v>
      </c>
      <c r="C91" s="112" t="s">
        <v>39</v>
      </c>
      <c r="D91" s="31" t="s">
        <v>40</v>
      </c>
      <c r="E91" s="32" t="s">
        <v>41</v>
      </c>
      <c r="F91" s="31" t="s">
        <v>40</v>
      </c>
      <c r="G91" s="113" t="s">
        <v>41</v>
      </c>
      <c r="I91" s="33" t="s">
        <v>42</v>
      </c>
    </row>
    <row r="92" spans="1:12" ht="26.25" customHeight="1" x14ac:dyDescent="0.45">
      <c r="A92" s="28" t="s">
        <v>43</v>
      </c>
      <c r="B92" s="29">
        <v>20</v>
      </c>
      <c r="C92" s="114">
        <v>1</v>
      </c>
      <c r="D92" s="35">
        <v>185856098</v>
      </c>
      <c r="E92" s="36">
        <f>IF(ISBLANK(D92),"-",$D$102/$D$99*D92)</f>
        <v>203367904.92520446</v>
      </c>
      <c r="F92" s="35">
        <v>197025667</v>
      </c>
      <c r="G92" s="37">
        <f>IF(ISBLANK(F92),"-",$D$102/$F$99*F92)</f>
        <v>202808758.75592524</v>
      </c>
      <c r="I92" s="38"/>
    </row>
    <row r="93" spans="1:12" ht="26.25" customHeight="1" x14ac:dyDescent="0.45">
      <c r="A93" s="28" t="s">
        <v>44</v>
      </c>
      <c r="B93" s="29">
        <v>1</v>
      </c>
      <c r="C93" s="99">
        <v>2</v>
      </c>
      <c r="D93" s="40">
        <v>186186620</v>
      </c>
      <c r="E93" s="41">
        <f>IF(ISBLANK(D93),"-",$D$102/$D$99*D93)</f>
        <v>203729569.50008264</v>
      </c>
      <c r="F93" s="40">
        <v>193873415</v>
      </c>
      <c r="G93" s="42">
        <f>IF(ISBLANK(F93),"-",$D$102/$F$99*F93)</f>
        <v>199563981.94516644</v>
      </c>
      <c r="I93" s="787">
        <f>ABS((F97/D97*D96)-F96)/D96</f>
        <v>1.0589701234489617E-2</v>
      </c>
    </row>
    <row r="94" spans="1:12" ht="26.25" customHeight="1" x14ac:dyDescent="0.45">
      <c r="A94" s="28" t="s">
        <v>45</v>
      </c>
      <c r="B94" s="29">
        <v>1</v>
      </c>
      <c r="C94" s="99">
        <v>3</v>
      </c>
      <c r="D94" s="40">
        <v>186050291</v>
      </c>
      <c r="E94" s="41">
        <f>IF(ISBLANK(D94),"-",$D$102/$D$99*D94)</f>
        <v>203580395.25501403</v>
      </c>
      <c r="F94" s="40">
        <v>196455270</v>
      </c>
      <c r="G94" s="42">
        <f>IF(ISBLANK(F94),"-",$D$102/$F$99*F94)</f>
        <v>202221619.47945672</v>
      </c>
      <c r="I94" s="787"/>
    </row>
    <row r="95" spans="1:12" ht="27" customHeight="1" thickBot="1" x14ac:dyDescent="0.5">
      <c r="A95" s="28" t="s">
        <v>46</v>
      </c>
      <c r="B95" s="29">
        <v>1</v>
      </c>
      <c r="C95" s="115">
        <v>4</v>
      </c>
      <c r="D95" s="45"/>
      <c r="E95" s="46" t="str">
        <f>IF(ISBLANK(D95),"-",$D$102/$D$99*D95)</f>
        <v>-</v>
      </c>
      <c r="F95" s="116"/>
      <c r="G95" s="47" t="str">
        <f>IF(ISBLANK(F95),"-",$D$102/$F$99*F95)</f>
        <v>-</v>
      </c>
      <c r="I95" s="48"/>
    </row>
    <row r="96" spans="1:12" ht="27" customHeight="1" thickBot="1" x14ac:dyDescent="0.5">
      <c r="A96" s="28" t="s">
        <v>47</v>
      </c>
      <c r="B96" s="29">
        <v>1</v>
      </c>
      <c r="C96" s="117" t="s">
        <v>48</v>
      </c>
      <c r="D96" s="118">
        <f>AVERAGE(D92:D95)</f>
        <v>186031003</v>
      </c>
      <c r="E96" s="51">
        <f>AVERAGE(E92:E95)</f>
        <v>203559289.89343372</v>
      </c>
      <c r="F96" s="119">
        <f>AVERAGE(F92:F95)</f>
        <v>195784784</v>
      </c>
      <c r="G96" s="120">
        <f>AVERAGE(G92:G95)</f>
        <v>201531453.39351615</v>
      </c>
    </row>
    <row r="97" spans="1:10" ht="26.25" customHeight="1" x14ac:dyDescent="0.45">
      <c r="A97" s="28" t="s">
        <v>49</v>
      </c>
      <c r="B97" s="15">
        <v>1</v>
      </c>
      <c r="C97" s="121" t="s">
        <v>89</v>
      </c>
      <c r="D97" s="122">
        <f>F43</f>
        <v>27.61</v>
      </c>
      <c r="E97" s="43"/>
      <c r="F97" s="54">
        <f>D43</f>
        <v>29.35</v>
      </c>
    </row>
    <row r="98" spans="1:10" ht="26.25" customHeight="1" x14ac:dyDescent="0.45">
      <c r="A98" s="28" t="s">
        <v>51</v>
      </c>
      <c r="B98" s="15">
        <v>1</v>
      </c>
      <c r="C98" s="123" t="s">
        <v>90</v>
      </c>
      <c r="D98" s="124">
        <f>D97*$B$88</f>
        <v>27.61</v>
      </c>
      <c r="E98" s="57"/>
      <c r="F98" s="56">
        <f>F97*$B$88</f>
        <v>29.35</v>
      </c>
    </row>
    <row r="99" spans="1:10" ht="19.5" customHeight="1" thickBot="1" x14ac:dyDescent="0.4">
      <c r="A99" s="28" t="s">
        <v>53</v>
      </c>
      <c r="B99" s="125">
        <f>(B98/B97)*(B96/B95)*(B94/B93)*(B92/B91)*B90</f>
        <v>50</v>
      </c>
      <c r="C99" s="123" t="s">
        <v>91</v>
      </c>
      <c r="D99" s="126">
        <f>D98*$B$84/100</f>
        <v>27.416729999999998</v>
      </c>
      <c r="E99" s="60"/>
      <c r="F99" s="59">
        <f>F98*$B$84/100</f>
        <v>29.144549999999999</v>
      </c>
    </row>
    <row r="100" spans="1:10" ht="19.5" customHeight="1" thickBot="1" x14ac:dyDescent="0.4">
      <c r="A100" s="783" t="s">
        <v>55</v>
      </c>
      <c r="B100" s="798"/>
      <c r="C100" s="123" t="s">
        <v>56</v>
      </c>
      <c r="D100" s="127">
        <f>D99/$B$99</f>
        <v>0.54833460000000001</v>
      </c>
      <c r="E100" s="60"/>
      <c r="F100" s="63">
        <f>F99/$B$99</f>
        <v>0.58289099999999994</v>
      </c>
      <c r="G100" s="128"/>
      <c r="H100" s="52"/>
    </row>
    <row r="101" spans="1:10" ht="19.5" customHeight="1" thickBot="1" x14ac:dyDescent="0.4">
      <c r="A101" s="785"/>
      <c r="B101" s="799"/>
      <c r="C101" s="123" t="s">
        <v>57</v>
      </c>
      <c r="D101" s="129">
        <f>$B$56/$B$117</f>
        <v>0.6</v>
      </c>
      <c r="F101" s="68"/>
      <c r="G101" s="130"/>
      <c r="H101" s="52"/>
    </row>
    <row r="102" spans="1:10" ht="18" x14ac:dyDescent="0.35">
      <c r="C102" s="123" t="s">
        <v>58</v>
      </c>
      <c r="D102" s="124">
        <f>D101*$B$99</f>
        <v>30</v>
      </c>
      <c r="F102" s="68"/>
      <c r="G102" s="128"/>
      <c r="H102" s="52"/>
    </row>
    <row r="103" spans="1:10" ht="19.5" customHeight="1" thickBot="1" x14ac:dyDescent="0.4">
      <c r="A103" s="1">
        <f>(10/25*20)</f>
        <v>8</v>
      </c>
      <c r="C103" s="131" t="s">
        <v>59</v>
      </c>
      <c r="D103" s="132">
        <f>D102/B34</f>
        <v>30</v>
      </c>
      <c r="E103" s="1" t="s">
        <v>132</v>
      </c>
      <c r="F103" s="72"/>
      <c r="G103" s="128"/>
      <c r="H103" s="52"/>
      <c r="J103" s="133"/>
    </row>
    <row r="104" spans="1:10" ht="18" x14ac:dyDescent="0.35">
      <c r="C104" s="134" t="s">
        <v>93</v>
      </c>
      <c r="D104" s="135">
        <f>AVERAGE(E92:E95,G92:G95)</f>
        <v>202545371.64347494</v>
      </c>
      <c r="F104" s="672">
        <f>D109/D104*D101*B117/B56</f>
        <v>0.74704409077458434</v>
      </c>
      <c r="G104" s="136"/>
      <c r="H104" s="52"/>
      <c r="J104" s="137"/>
    </row>
    <row r="105" spans="1:10" ht="18" x14ac:dyDescent="0.35">
      <c r="C105" s="102" t="s">
        <v>61</v>
      </c>
      <c r="D105" s="138">
        <f>STDEV(E92:E95,G92:G95)/D104</f>
        <v>7.716216872338518E-3</v>
      </c>
      <c r="F105" s="72"/>
      <c r="G105" s="128"/>
      <c r="H105" s="52"/>
      <c r="J105" s="137"/>
    </row>
    <row r="106" spans="1:10" ht="19.5" customHeight="1" thickBot="1" x14ac:dyDescent="0.4">
      <c r="C106" s="104" t="s">
        <v>3</v>
      </c>
      <c r="D106" s="139">
        <f>COUNT(E92:E95,G92:G95)</f>
        <v>6</v>
      </c>
      <c r="F106" s="72"/>
      <c r="G106" s="128"/>
      <c r="H106" s="52"/>
      <c r="J106" s="137"/>
    </row>
    <row r="107" spans="1:10" ht="19.5" customHeight="1" thickBot="1" x14ac:dyDescent="0.4">
      <c r="A107" s="76"/>
      <c r="B107" s="76"/>
      <c r="C107" s="76"/>
      <c r="D107" s="76"/>
      <c r="E107" s="76"/>
    </row>
    <row r="108" spans="1:10" ht="26.25" customHeight="1" x14ac:dyDescent="0.45">
      <c r="A108" s="26" t="s">
        <v>94</v>
      </c>
      <c r="B108" s="27">
        <v>1000</v>
      </c>
      <c r="C108" s="140" t="s">
        <v>121</v>
      </c>
      <c r="D108" s="141" t="s">
        <v>40</v>
      </c>
      <c r="E108" s="142" t="s">
        <v>95</v>
      </c>
      <c r="F108" s="143" t="s">
        <v>96</v>
      </c>
    </row>
    <row r="109" spans="1:10" ht="26.25" customHeight="1" x14ac:dyDescent="0.45">
      <c r="A109" s="28" t="s">
        <v>97</v>
      </c>
      <c r="B109" s="29">
        <v>1</v>
      </c>
      <c r="C109" s="144">
        <v>1</v>
      </c>
      <c r="D109" s="145">
        <v>151310323</v>
      </c>
      <c r="E109" s="171">
        <f t="shared" ref="E109:E114" si="1">IF(ISBLANK(D109),"-",D109/$D$104*$D$101*$B$117)</f>
        <v>448.22645446475059</v>
      </c>
      <c r="F109" s="146">
        <f t="shared" ref="F109:F114" si="2">IF(ISBLANK(D109), "-", E109/$B$56)</f>
        <v>0.74704409077458434</v>
      </c>
    </row>
    <row r="110" spans="1:10" ht="26.25" customHeight="1" x14ac:dyDescent="0.45">
      <c r="A110" s="28" t="s">
        <v>71</v>
      </c>
      <c r="B110" s="29">
        <v>1</v>
      </c>
      <c r="C110" s="144">
        <v>2</v>
      </c>
      <c r="D110" s="145">
        <v>194102790</v>
      </c>
      <c r="E110" s="172">
        <f t="shared" si="1"/>
        <v>574.99054683411157</v>
      </c>
      <c r="F110" s="147">
        <f t="shared" si="2"/>
        <v>0.95831757805685258</v>
      </c>
    </row>
    <row r="111" spans="1:10" ht="26.25" customHeight="1" x14ac:dyDescent="0.45">
      <c r="A111" s="28" t="s">
        <v>72</v>
      </c>
      <c r="B111" s="29">
        <v>1</v>
      </c>
      <c r="C111" s="144">
        <v>3</v>
      </c>
      <c r="D111" s="145">
        <v>183674940</v>
      </c>
      <c r="E111" s="172">
        <f t="shared" si="1"/>
        <v>544.10013472924629</v>
      </c>
      <c r="F111" s="147">
        <f t="shared" si="2"/>
        <v>0.9068335578820772</v>
      </c>
    </row>
    <row r="112" spans="1:10" ht="26.25" customHeight="1" x14ac:dyDescent="0.45">
      <c r="A112" s="28" t="s">
        <v>73</v>
      </c>
      <c r="B112" s="29">
        <v>1</v>
      </c>
      <c r="C112" s="144">
        <v>4</v>
      </c>
      <c r="D112" s="145">
        <v>194483787</v>
      </c>
      <c r="E112" s="172">
        <f t="shared" si="1"/>
        <v>576.11917395674152</v>
      </c>
      <c r="F112" s="147">
        <f t="shared" si="2"/>
        <v>0.96019862326123584</v>
      </c>
    </row>
    <row r="113" spans="1:12" ht="26.25" customHeight="1" x14ac:dyDescent="0.45">
      <c r="A113" s="28" t="s">
        <v>74</v>
      </c>
      <c r="B113" s="29">
        <v>1</v>
      </c>
      <c r="C113" s="144">
        <v>5</v>
      </c>
      <c r="D113" s="145">
        <v>194069276</v>
      </c>
      <c r="E113" s="172">
        <f t="shared" si="1"/>
        <v>574.89126833746241</v>
      </c>
      <c r="F113" s="147">
        <f t="shared" si="2"/>
        <v>0.95815211389577071</v>
      </c>
    </row>
    <row r="114" spans="1:12" ht="26.25" customHeight="1" x14ac:dyDescent="0.45">
      <c r="A114" s="28" t="s">
        <v>76</v>
      </c>
      <c r="B114" s="29">
        <v>1</v>
      </c>
      <c r="C114" s="148">
        <v>6</v>
      </c>
      <c r="D114" s="149">
        <v>180042816</v>
      </c>
      <c r="E114" s="173">
        <f t="shared" si="1"/>
        <v>533.34069657315752</v>
      </c>
      <c r="F114" s="150">
        <f t="shared" si="2"/>
        <v>0.8889011609552625</v>
      </c>
    </row>
    <row r="115" spans="1:12" ht="26.25" customHeight="1" x14ac:dyDescent="0.45">
      <c r="A115" s="28" t="s">
        <v>77</v>
      </c>
      <c r="B115" s="29">
        <v>1</v>
      </c>
      <c r="C115" s="144"/>
      <c r="D115" s="99"/>
      <c r="E115" s="3"/>
      <c r="F115" s="151"/>
    </row>
    <row r="116" spans="1:12" ht="26.25" customHeight="1" x14ac:dyDescent="0.45">
      <c r="A116" s="28" t="s">
        <v>78</v>
      </c>
      <c r="B116" s="29">
        <v>1</v>
      </c>
      <c r="C116" s="144"/>
      <c r="D116" s="693" t="s">
        <v>48</v>
      </c>
      <c r="E116" s="175">
        <f>AVERAGE(E109:E114)</f>
        <v>541.94471248257832</v>
      </c>
      <c r="F116" s="152">
        <f>AVERAGE(F109:F114)</f>
        <v>0.90324118747096394</v>
      </c>
    </row>
    <row r="117" spans="1:12" ht="27" customHeight="1" thickBot="1" x14ac:dyDescent="0.5">
      <c r="A117" s="28" t="s">
        <v>79</v>
      </c>
      <c r="B117" s="58">
        <f>(B116/B115)*(B114/B113)*(B112/B111)*(B110/B109)*B108</f>
        <v>1000</v>
      </c>
      <c r="C117" s="153"/>
      <c r="D117" s="694" t="s">
        <v>61</v>
      </c>
      <c r="E117" s="154">
        <f>STDEV(E109:E114)/E116</f>
        <v>9.1173315518617029E-2</v>
      </c>
      <c r="F117" s="154">
        <f>STDEV(F109:F114)/F116</f>
        <v>9.1173315518617015E-2</v>
      </c>
      <c r="I117" s="3"/>
    </row>
    <row r="118" spans="1:12" ht="27" customHeight="1" thickBot="1" x14ac:dyDescent="0.5">
      <c r="A118" s="783" t="s">
        <v>55</v>
      </c>
      <c r="B118" s="784"/>
      <c r="C118" s="155"/>
      <c r="D118" s="692" t="s">
        <v>3</v>
      </c>
      <c r="E118" s="156">
        <f>COUNT(E109:E114)</f>
        <v>6</v>
      </c>
      <c r="F118" s="156">
        <f>COUNT(F109:F114)</f>
        <v>6</v>
      </c>
      <c r="I118" s="3"/>
      <c r="J118" s="137"/>
    </row>
    <row r="119" spans="1:12" ht="19.5" customHeight="1" thickBot="1" x14ac:dyDescent="0.4">
      <c r="A119" s="785"/>
      <c r="B119" s="786"/>
      <c r="C119" s="3"/>
      <c r="D119" s="3"/>
      <c r="E119" s="3"/>
      <c r="F119" s="99"/>
      <c r="G119" s="3"/>
      <c r="H119" s="3"/>
      <c r="I119" s="3"/>
    </row>
    <row r="120" spans="1:12" ht="18" x14ac:dyDescent="0.35">
      <c r="A120" s="162"/>
      <c r="B120" s="24"/>
      <c r="C120" s="3"/>
      <c r="D120" s="3"/>
      <c r="E120" s="3"/>
      <c r="F120" s="99"/>
      <c r="G120" s="3"/>
      <c r="H120" s="3"/>
      <c r="I120" s="3"/>
    </row>
    <row r="121" spans="1:12" ht="26.25" customHeight="1" x14ac:dyDescent="0.45">
      <c r="A121" s="13" t="s">
        <v>82</v>
      </c>
      <c r="B121" s="106" t="s">
        <v>98</v>
      </c>
      <c r="C121" s="793" t="str">
        <f>B80</f>
        <v>EFAVIRENZ</v>
      </c>
      <c r="D121" s="793"/>
      <c r="E121" s="107" t="s">
        <v>99</v>
      </c>
      <c r="F121" s="107"/>
      <c r="G121" s="108">
        <f>F116</f>
        <v>0.90324118747096394</v>
      </c>
      <c r="H121" s="3"/>
      <c r="I121" s="3"/>
    </row>
    <row r="122" spans="1:12" ht="26.25" customHeight="1" x14ac:dyDescent="0.45">
      <c r="A122" s="516"/>
      <c r="B122" s="472"/>
      <c r="C122" s="701"/>
      <c r="D122" s="701"/>
      <c r="E122" s="461"/>
      <c r="F122" s="461"/>
      <c r="G122" s="462"/>
      <c r="H122" s="461"/>
      <c r="I122" s="461"/>
      <c r="J122" s="483"/>
      <c r="K122" s="483"/>
      <c r="L122" s="483"/>
    </row>
    <row r="123" spans="1:12" ht="26.25" customHeight="1" x14ac:dyDescent="0.35">
      <c r="A123" s="720" t="s">
        <v>145</v>
      </c>
      <c r="B123" s="719"/>
      <c r="C123" s="653"/>
      <c r="D123" s="653"/>
      <c r="E123" s="653"/>
      <c r="F123" s="653"/>
      <c r="G123" s="653"/>
      <c r="H123" s="653"/>
      <c r="I123" s="461"/>
      <c r="J123" s="483"/>
      <c r="K123" s="483"/>
      <c r="L123" s="483"/>
    </row>
    <row r="124" spans="1:12" ht="26.25" customHeight="1" thickBot="1" x14ac:dyDescent="0.4">
      <c r="A124" s="719"/>
      <c r="B124" s="719"/>
      <c r="C124" s="653"/>
      <c r="D124" s="653"/>
      <c r="E124" s="653"/>
      <c r="F124" s="653"/>
      <c r="G124" s="653"/>
      <c r="H124" s="653"/>
      <c r="I124" s="461"/>
      <c r="J124" s="483"/>
      <c r="K124" s="483"/>
      <c r="L124" s="483"/>
    </row>
    <row r="125" spans="1:12" ht="26.25" customHeight="1" thickBot="1" x14ac:dyDescent="0.5">
      <c r="A125" s="378" t="s">
        <v>35</v>
      </c>
      <c r="B125" s="379">
        <v>25</v>
      </c>
      <c r="C125" s="483"/>
      <c r="D125" s="702" t="s">
        <v>36</v>
      </c>
      <c r="E125" s="703"/>
      <c r="F125" s="800" t="s">
        <v>37</v>
      </c>
      <c r="G125" s="801"/>
      <c r="H125" s="653"/>
      <c r="I125" s="461"/>
      <c r="J125" s="483"/>
      <c r="K125" s="483"/>
      <c r="L125" s="483"/>
    </row>
    <row r="126" spans="1:12" ht="26.25" customHeight="1" x14ac:dyDescent="0.45">
      <c r="A126" s="380" t="s">
        <v>38</v>
      </c>
      <c r="B126" s="381">
        <v>10</v>
      </c>
      <c r="C126" s="704" t="s">
        <v>39</v>
      </c>
      <c r="D126" s="383" t="s">
        <v>40</v>
      </c>
      <c r="E126" s="384" t="s">
        <v>41</v>
      </c>
      <c r="F126" s="661" t="s">
        <v>40</v>
      </c>
      <c r="G126" s="724" t="s">
        <v>41</v>
      </c>
      <c r="H126" s="653"/>
      <c r="I126" s="461"/>
      <c r="J126" s="483"/>
      <c r="K126" s="483"/>
      <c r="L126" s="483"/>
    </row>
    <row r="127" spans="1:12" ht="26.25" customHeight="1" x14ac:dyDescent="0.45">
      <c r="A127" s="380" t="s">
        <v>43</v>
      </c>
      <c r="B127" s="381">
        <v>20</v>
      </c>
      <c r="C127" s="469">
        <v>1</v>
      </c>
      <c r="D127" s="388">
        <v>192948217</v>
      </c>
      <c r="E127" s="721">
        <f>IF(ISBLANK(D127),"-",$D$137/$D$134*D127)</f>
        <v>197802893.41303617</v>
      </c>
      <c r="F127" s="663">
        <v>208521888</v>
      </c>
      <c r="G127" s="725">
        <f>IF(ISBLANK(F127),"-",$D$137/$F$134*F127)</f>
        <v>198230173.83484262</v>
      </c>
      <c r="H127" s="653"/>
      <c r="I127" s="461"/>
      <c r="J127" s="483"/>
      <c r="K127" s="483"/>
      <c r="L127" s="483"/>
    </row>
    <row r="128" spans="1:12" ht="26.25" customHeight="1" x14ac:dyDescent="0.45">
      <c r="A128" s="380" t="s">
        <v>44</v>
      </c>
      <c r="B128" s="381">
        <v>1</v>
      </c>
      <c r="C128" s="480">
        <v>2</v>
      </c>
      <c r="D128" s="393">
        <v>192843768</v>
      </c>
      <c r="E128" s="722">
        <f t="shared" ref="E128:E130" si="3">IF(ISBLANK(D128),"-",$D$137/$D$134*D128)</f>
        <v>197695816.42245635</v>
      </c>
      <c r="F128" s="665">
        <v>206650608</v>
      </c>
      <c r="G128" s="726">
        <f t="shared" ref="G128:G130" si="4">IF(ISBLANK(F128),"-",$D$137/$F$134*F128)</f>
        <v>196451251.90366548</v>
      </c>
      <c r="H128" s="653"/>
      <c r="I128" s="461"/>
      <c r="J128" s="483"/>
      <c r="K128" s="483"/>
      <c r="L128" s="483"/>
    </row>
    <row r="129" spans="1:12" ht="26.25" customHeight="1" x14ac:dyDescent="0.45">
      <c r="A129" s="380" t="s">
        <v>45</v>
      </c>
      <c r="B129" s="381">
        <v>1</v>
      </c>
      <c r="C129" s="480">
        <v>3</v>
      </c>
      <c r="D129" s="393">
        <v>195413429</v>
      </c>
      <c r="E129" s="722">
        <f t="shared" si="3"/>
        <v>200330131.41532636</v>
      </c>
      <c r="F129" s="665">
        <v>208687019</v>
      </c>
      <c r="G129" s="726">
        <f t="shared" si="4"/>
        <v>198387154.70217261</v>
      </c>
      <c r="H129" s="653"/>
      <c r="I129" s="461"/>
      <c r="J129" s="483"/>
      <c r="K129" s="483"/>
      <c r="L129" s="483"/>
    </row>
    <row r="130" spans="1:12" ht="26.25" customHeight="1" x14ac:dyDescent="0.45">
      <c r="A130" s="380" t="s">
        <v>46</v>
      </c>
      <c r="B130" s="381">
        <v>1</v>
      </c>
      <c r="C130" s="470">
        <v>4</v>
      </c>
      <c r="D130" s="398"/>
      <c r="E130" s="723" t="str">
        <f t="shared" si="3"/>
        <v>-</v>
      </c>
      <c r="F130" s="727"/>
      <c r="G130" s="728" t="str">
        <f t="shared" si="4"/>
        <v>-</v>
      </c>
      <c r="H130" s="653"/>
      <c r="I130" s="461"/>
      <c r="J130" s="483"/>
      <c r="K130" s="483"/>
      <c r="L130" s="483"/>
    </row>
    <row r="131" spans="1:12" ht="26.25" customHeight="1" thickBot="1" x14ac:dyDescent="0.5">
      <c r="A131" s="380" t="s">
        <v>47</v>
      </c>
      <c r="B131" s="381">
        <v>1</v>
      </c>
      <c r="C131" s="472" t="s">
        <v>48</v>
      </c>
      <c r="D131" s="473">
        <f>AVERAGE(D127:D130)</f>
        <v>193735138</v>
      </c>
      <c r="E131" s="404">
        <f>AVERAGE(E127:E130)</f>
        <v>198609613.75027296</v>
      </c>
      <c r="F131" s="729">
        <f>AVERAGE(F127:F130)</f>
        <v>207953171.66666666</v>
      </c>
      <c r="G131" s="730">
        <f>AVERAGE(G127:G130)</f>
        <v>197689526.81356025</v>
      </c>
      <c r="H131" s="653"/>
      <c r="I131" s="461"/>
      <c r="J131" s="483"/>
      <c r="K131" s="483"/>
      <c r="L131" s="483"/>
    </row>
    <row r="132" spans="1:12" ht="26.25" customHeight="1" x14ac:dyDescent="0.45">
      <c r="A132" s="380" t="s">
        <v>49</v>
      </c>
      <c r="B132" s="464">
        <v>1</v>
      </c>
      <c r="C132" s="476" t="s">
        <v>89</v>
      </c>
      <c r="D132" s="477">
        <v>29.47</v>
      </c>
      <c r="E132" s="461"/>
      <c r="F132" s="660">
        <v>31.78</v>
      </c>
      <c r="G132" s="483"/>
      <c r="H132" s="653"/>
      <c r="I132" s="461"/>
      <c r="J132" s="483"/>
      <c r="K132" s="483"/>
      <c r="L132" s="483"/>
    </row>
    <row r="133" spans="1:12" ht="26.25" customHeight="1" x14ac:dyDescent="0.45">
      <c r="A133" s="380" t="s">
        <v>51</v>
      </c>
      <c r="B133" s="464">
        <v>1</v>
      </c>
      <c r="C133" s="478" t="s">
        <v>90</v>
      </c>
      <c r="D133" s="479">
        <f>D132*$B$88</f>
        <v>29.47</v>
      </c>
      <c r="E133" s="480"/>
      <c r="F133" s="410">
        <f>F132*$B$88</f>
        <v>31.78</v>
      </c>
      <c r="G133" s="483"/>
      <c r="H133" s="653"/>
      <c r="I133" s="461"/>
      <c r="J133" s="483"/>
      <c r="K133" s="483"/>
      <c r="L133" s="483"/>
    </row>
    <row r="134" spans="1:12" ht="26.25" customHeight="1" thickBot="1" x14ac:dyDescent="0.4">
      <c r="A134" s="380" t="s">
        <v>53</v>
      </c>
      <c r="B134" s="480">
        <f>(B133/B132)*(B131/B130)*(B129/B128)*(B127/B126)*B125</f>
        <v>50</v>
      </c>
      <c r="C134" s="478" t="s">
        <v>91</v>
      </c>
      <c r="D134" s="481">
        <f>D133*$B$84/100</f>
        <v>29.263709999999996</v>
      </c>
      <c r="E134" s="457"/>
      <c r="F134" s="413">
        <f>F133*$B$84/100</f>
        <v>31.557539999999999</v>
      </c>
      <c r="G134" s="483"/>
      <c r="H134" s="653"/>
      <c r="I134" s="461"/>
      <c r="J134" s="483"/>
      <c r="K134" s="483"/>
      <c r="L134" s="483"/>
    </row>
    <row r="135" spans="1:12" ht="26.25" customHeight="1" thickBot="1" x14ac:dyDescent="0.4">
      <c r="A135" s="783" t="s">
        <v>55</v>
      </c>
      <c r="B135" s="798"/>
      <c r="C135" s="478" t="s">
        <v>92</v>
      </c>
      <c r="D135" s="482">
        <f>D134/$B$134</f>
        <v>0.58527419999999997</v>
      </c>
      <c r="E135" s="457"/>
      <c r="F135" s="417">
        <f>F134/$B$134</f>
        <v>0.63115080000000001</v>
      </c>
      <c r="G135" s="483"/>
      <c r="H135" s="653"/>
      <c r="I135" s="461"/>
      <c r="J135" s="483"/>
      <c r="K135" s="483"/>
      <c r="L135" s="483"/>
    </row>
    <row r="136" spans="1:12" ht="26.25" customHeight="1" thickBot="1" x14ac:dyDescent="0.4">
      <c r="A136" s="785"/>
      <c r="B136" s="799"/>
      <c r="C136" s="478" t="s">
        <v>57</v>
      </c>
      <c r="D136" s="484">
        <f>$B$56/$B$117</f>
        <v>0.6</v>
      </c>
      <c r="E136" s="483"/>
      <c r="F136" s="422"/>
      <c r="G136" s="491"/>
      <c r="H136" s="653"/>
      <c r="I136" s="461"/>
      <c r="J136" s="483"/>
      <c r="K136" s="483"/>
      <c r="L136" s="483"/>
    </row>
    <row r="137" spans="1:12" ht="26.25" customHeight="1" x14ac:dyDescent="0.35">
      <c r="A137" s="483"/>
      <c r="B137" s="483"/>
      <c r="C137" s="478" t="s">
        <v>58</v>
      </c>
      <c r="D137" s="479">
        <f>D136*$B$99</f>
        <v>30</v>
      </c>
      <c r="E137" s="483"/>
      <c r="F137" s="422"/>
      <c r="G137" s="483"/>
      <c r="H137" s="653"/>
      <c r="I137" s="461"/>
      <c r="J137" s="483"/>
      <c r="K137" s="483"/>
      <c r="L137" s="483"/>
    </row>
    <row r="138" spans="1:12" ht="26.25" customHeight="1" thickBot="1" x14ac:dyDescent="0.4">
      <c r="A138" s="483"/>
      <c r="B138" s="483"/>
      <c r="C138" s="486" t="s">
        <v>59</v>
      </c>
      <c r="D138" s="487">
        <f>D137/B34</f>
        <v>30</v>
      </c>
      <c r="E138" s="483"/>
      <c r="F138" s="426"/>
      <c r="G138" s="483"/>
      <c r="H138" s="653"/>
      <c r="I138" s="461"/>
      <c r="J138" s="483"/>
      <c r="K138" s="483"/>
      <c r="L138" s="483"/>
    </row>
    <row r="139" spans="1:12" ht="26.25" customHeight="1" x14ac:dyDescent="0.35">
      <c r="A139" s="483"/>
      <c r="B139" s="483"/>
      <c r="C139" s="489" t="s">
        <v>93</v>
      </c>
      <c r="D139" s="490">
        <f>AVERAGE(E127:E130,G127:G130)</f>
        <v>198149570.28191659</v>
      </c>
      <c r="E139" s="483"/>
      <c r="F139" s="426"/>
      <c r="G139" s="491"/>
      <c r="H139" s="653"/>
      <c r="I139" s="461"/>
      <c r="J139" s="483"/>
      <c r="K139" s="483"/>
      <c r="L139" s="483"/>
    </row>
    <row r="140" spans="1:12" ht="26.25" customHeight="1" x14ac:dyDescent="0.35">
      <c r="A140" s="483"/>
      <c r="B140" s="483"/>
      <c r="C140" s="456" t="s">
        <v>61</v>
      </c>
      <c r="D140" s="493">
        <f>STDEV(E127:E130,G127:G130)/D139</f>
        <v>6.394839957998175E-3</v>
      </c>
      <c r="E140" s="483"/>
      <c r="F140" s="426"/>
      <c r="G140" s="483"/>
      <c r="H140" s="653"/>
      <c r="I140" s="461"/>
      <c r="J140" s="483"/>
      <c r="K140" s="483"/>
      <c r="L140" s="483"/>
    </row>
    <row r="141" spans="1:12" ht="26.25" customHeight="1" thickBot="1" x14ac:dyDescent="0.4">
      <c r="A141" s="483"/>
      <c r="B141" s="483"/>
      <c r="C141" s="458" t="s">
        <v>3</v>
      </c>
      <c r="D141" s="494">
        <f>COUNT(E127:E130,G127:G130)</f>
        <v>6</v>
      </c>
      <c r="E141" s="483"/>
      <c r="F141" s="426"/>
      <c r="G141" s="483"/>
      <c r="H141" s="653"/>
      <c r="I141" s="461"/>
      <c r="J141" s="483"/>
      <c r="K141" s="483"/>
      <c r="L141" s="483"/>
    </row>
    <row r="142" spans="1:12" ht="26.25" customHeight="1" thickBot="1" x14ac:dyDescent="0.4">
      <c r="A142" s="430"/>
      <c r="B142" s="430"/>
      <c r="C142" s="430"/>
      <c r="D142" s="430"/>
      <c r="E142" s="430"/>
      <c r="F142" s="483"/>
      <c r="G142" s="483"/>
      <c r="H142" s="653"/>
      <c r="I142" s="461"/>
      <c r="J142" s="483"/>
      <c r="K142" s="483"/>
      <c r="L142" s="483"/>
    </row>
    <row r="143" spans="1:12" ht="26.25" customHeight="1" x14ac:dyDescent="0.45">
      <c r="A143" s="378" t="s">
        <v>94</v>
      </c>
      <c r="B143" s="379">
        <v>1000</v>
      </c>
      <c r="C143" s="702" t="s">
        <v>121</v>
      </c>
      <c r="D143" s="496" t="s">
        <v>40</v>
      </c>
      <c r="E143" s="497" t="s">
        <v>95</v>
      </c>
      <c r="F143" s="498" t="s">
        <v>96</v>
      </c>
      <c r="G143" s="483"/>
      <c r="H143" s="653"/>
      <c r="I143" s="461"/>
      <c r="J143" s="483"/>
      <c r="K143" s="483"/>
      <c r="L143" s="483"/>
    </row>
    <row r="144" spans="1:12" ht="26.25" customHeight="1" x14ac:dyDescent="0.45">
      <c r="A144" s="380" t="s">
        <v>97</v>
      </c>
      <c r="B144" s="381">
        <v>1</v>
      </c>
      <c r="C144" s="499">
        <v>1</v>
      </c>
      <c r="D144" s="500">
        <v>192887965</v>
      </c>
      <c r="E144" s="734">
        <f>IF(ISBLANK(D144),"-",D144/$D$139*$D$136*$B$152)</f>
        <v>584.06777685836823</v>
      </c>
      <c r="F144" s="731">
        <f>IF(ISBLANK(D144), "-", E144/$B$56)</f>
        <v>0.97344629476394706</v>
      </c>
      <c r="G144" s="483"/>
      <c r="H144" s="653"/>
      <c r="I144" s="461"/>
      <c r="J144" s="483"/>
      <c r="K144" s="483"/>
      <c r="L144" s="483"/>
    </row>
    <row r="145" spans="1:12" ht="26.25" customHeight="1" x14ac:dyDescent="0.45">
      <c r="A145" s="380" t="s">
        <v>71</v>
      </c>
      <c r="B145" s="381">
        <v>1</v>
      </c>
      <c r="C145" s="499">
        <v>2</v>
      </c>
      <c r="D145" s="500">
        <v>202644616</v>
      </c>
      <c r="E145" s="735">
        <f>IF(ISBLANK(D145),"-",D145/$D$139*$D$136*$B$152)</f>
        <v>613.61106878512453</v>
      </c>
      <c r="F145" s="732">
        <f t="shared" ref="F145:F149" si="5">IF(ISBLANK(D145), "-", E145/$B$56)</f>
        <v>1.0226851146418743</v>
      </c>
      <c r="G145" s="483"/>
      <c r="H145" s="653"/>
      <c r="I145" s="461"/>
      <c r="J145" s="483"/>
      <c r="K145" s="483"/>
      <c r="L145" s="483"/>
    </row>
    <row r="146" spans="1:12" ht="26.25" customHeight="1" x14ac:dyDescent="0.45">
      <c r="A146" s="380" t="s">
        <v>72</v>
      </c>
      <c r="B146" s="381">
        <v>1</v>
      </c>
      <c r="C146" s="499">
        <v>3</v>
      </c>
      <c r="D146" s="500">
        <v>201845539</v>
      </c>
      <c r="E146" s="735">
        <f t="shared" ref="E146:E149" si="6">IF(ISBLANK(D146),"-",D146/$D$139*$D$136*$B$152)</f>
        <v>611.19145112298247</v>
      </c>
      <c r="F146" s="732">
        <f t="shared" si="5"/>
        <v>1.0186524185383041</v>
      </c>
      <c r="G146" s="483"/>
      <c r="H146" s="653"/>
      <c r="I146" s="461"/>
      <c r="J146" s="483"/>
      <c r="K146" s="483"/>
      <c r="L146" s="483"/>
    </row>
    <row r="147" spans="1:12" ht="26.25" customHeight="1" x14ac:dyDescent="0.45">
      <c r="A147" s="380" t="s">
        <v>73</v>
      </c>
      <c r="B147" s="381">
        <v>1</v>
      </c>
      <c r="C147" s="499">
        <v>4</v>
      </c>
      <c r="D147" s="500">
        <v>202650757</v>
      </c>
      <c r="E147" s="735">
        <f t="shared" si="6"/>
        <v>613.62966382923571</v>
      </c>
      <c r="F147" s="732">
        <f t="shared" si="5"/>
        <v>1.0227161063820596</v>
      </c>
      <c r="G147" s="483"/>
      <c r="H147" s="653"/>
      <c r="I147" s="461"/>
      <c r="J147" s="483"/>
      <c r="K147" s="483"/>
      <c r="L147" s="483"/>
    </row>
    <row r="148" spans="1:12" ht="26.25" customHeight="1" x14ac:dyDescent="0.45">
      <c r="A148" s="380" t="s">
        <v>74</v>
      </c>
      <c r="B148" s="381">
        <v>1</v>
      </c>
      <c r="C148" s="499">
        <v>5</v>
      </c>
      <c r="D148" s="500">
        <v>199870752</v>
      </c>
      <c r="E148" s="735">
        <f t="shared" si="6"/>
        <v>605.21176518011498</v>
      </c>
      <c r="F148" s="732">
        <f t="shared" si="5"/>
        <v>1.0086862753001917</v>
      </c>
      <c r="G148" s="483"/>
      <c r="H148" s="653"/>
      <c r="I148" s="461"/>
      <c r="J148" s="483"/>
      <c r="K148" s="483"/>
      <c r="L148" s="483"/>
    </row>
    <row r="149" spans="1:12" ht="26.25" customHeight="1" x14ac:dyDescent="0.45">
      <c r="A149" s="380" t="s">
        <v>76</v>
      </c>
      <c r="B149" s="381">
        <v>1</v>
      </c>
      <c r="C149" s="503">
        <v>6</v>
      </c>
      <c r="D149" s="504">
        <v>200939521</v>
      </c>
      <c r="E149" s="736">
        <f t="shared" si="6"/>
        <v>608.44801443913514</v>
      </c>
      <c r="F149" s="733">
        <f t="shared" si="5"/>
        <v>1.0140800240652252</v>
      </c>
      <c r="G149" s="483"/>
      <c r="H149" s="653"/>
      <c r="I149" s="461"/>
      <c r="J149" s="483"/>
      <c r="K149" s="483"/>
      <c r="L149" s="483"/>
    </row>
    <row r="150" spans="1:12" ht="26.25" customHeight="1" x14ac:dyDescent="0.45">
      <c r="A150" s="380" t="s">
        <v>77</v>
      </c>
      <c r="B150" s="381">
        <v>1</v>
      </c>
      <c r="C150" s="499"/>
      <c r="D150" s="480"/>
      <c r="E150" s="461"/>
      <c r="F150" s="506"/>
      <c r="G150" s="483"/>
      <c r="H150" s="653"/>
      <c r="I150" s="461"/>
      <c r="J150" s="483"/>
      <c r="K150" s="483"/>
      <c r="L150" s="483"/>
    </row>
    <row r="151" spans="1:12" ht="26.25" customHeight="1" x14ac:dyDescent="0.45">
      <c r="A151" s="380" t="s">
        <v>78</v>
      </c>
      <c r="B151" s="381">
        <v>1</v>
      </c>
      <c r="C151" s="499"/>
      <c r="D151" s="507" t="s">
        <v>48</v>
      </c>
      <c r="E151" s="533">
        <f>AVERAGE(E144:E149)</f>
        <v>606.02662336916012</v>
      </c>
      <c r="F151" s="508">
        <f>AVERAGE(F144:F149)</f>
        <v>1.0100443722819337</v>
      </c>
      <c r="G151" s="483"/>
      <c r="H151" s="653"/>
      <c r="I151" s="461"/>
      <c r="J151" s="483"/>
      <c r="K151" s="483"/>
      <c r="L151" s="483"/>
    </row>
    <row r="152" spans="1:12" ht="26.25" customHeight="1" thickBot="1" x14ac:dyDescent="0.5">
      <c r="A152" s="380" t="s">
        <v>79</v>
      </c>
      <c r="B152" s="412">
        <f>(B151/B150)*(B149/B148)*(B147/B146)*(B145/B144)*B143</f>
        <v>1000</v>
      </c>
      <c r="C152" s="509"/>
      <c r="D152" s="691" t="s">
        <v>61</v>
      </c>
      <c r="E152" s="510">
        <f>STDEV(E144:E149)/E151</f>
        <v>1.8532875918714171E-2</v>
      </c>
      <c r="F152" s="510">
        <f>STDEV(F144:F149)/F151</f>
        <v>1.8532875918714182E-2</v>
      </c>
      <c r="G152" s="483"/>
      <c r="H152" s="653"/>
      <c r="I152" s="461"/>
      <c r="J152" s="483"/>
      <c r="K152" s="483"/>
      <c r="L152" s="483"/>
    </row>
    <row r="153" spans="1:12" ht="26.25" customHeight="1" thickBot="1" x14ac:dyDescent="0.5">
      <c r="A153" s="783" t="s">
        <v>55</v>
      </c>
      <c r="B153" s="784"/>
      <c r="C153" s="511"/>
      <c r="D153" s="692" t="s">
        <v>3</v>
      </c>
      <c r="E153" s="512">
        <f>COUNT(E144:E149)</f>
        <v>6</v>
      </c>
      <c r="F153" s="512">
        <f>COUNT(F144:F149)</f>
        <v>6</v>
      </c>
      <c r="G153" s="483"/>
      <c r="H153" s="653"/>
      <c r="I153" s="461"/>
      <c r="J153" s="483"/>
      <c r="K153" s="483"/>
      <c r="L153" s="483"/>
    </row>
    <row r="154" spans="1:12" ht="26.25" customHeight="1" thickBot="1" x14ac:dyDescent="0.4">
      <c r="A154" s="785"/>
      <c r="B154" s="786"/>
      <c r="C154" s="461"/>
      <c r="D154" s="461"/>
      <c r="E154" s="461"/>
      <c r="F154" s="480"/>
      <c r="G154" s="461"/>
      <c r="H154" s="653"/>
      <c r="I154" s="461"/>
      <c r="J154" s="483"/>
      <c r="K154" s="483"/>
      <c r="L154" s="483"/>
    </row>
    <row r="155" spans="1:12" ht="26.25" customHeight="1" x14ac:dyDescent="0.35">
      <c r="A155" s="521"/>
      <c r="B155" s="376"/>
      <c r="C155" s="461"/>
      <c r="D155" s="461"/>
      <c r="E155" s="461"/>
      <c r="F155" s="480"/>
      <c r="G155" s="461"/>
      <c r="H155" s="653"/>
      <c r="I155" s="461"/>
      <c r="J155" s="483"/>
      <c r="K155" s="483"/>
      <c r="L155" s="483"/>
    </row>
    <row r="156" spans="1:12" ht="26.25" customHeight="1" x14ac:dyDescent="0.45">
      <c r="A156" s="516" t="s">
        <v>82</v>
      </c>
      <c r="B156" s="472" t="s">
        <v>98</v>
      </c>
      <c r="C156" s="793" t="str">
        <f>C121</f>
        <v>EFAVIRENZ</v>
      </c>
      <c r="D156" s="793"/>
      <c r="E156" s="461" t="s">
        <v>99</v>
      </c>
      <c r="F156" s="461"/>
      <c r="G156" s="462">
        <f>F151</f>
        <v>1.0100443722819337</v>
      </c>
      <c r="H156" s="653"/>
      <c r="I156" s="461"/>
      <c r="J156" s="483"/>
      <c r="K156" s="483"/>
      <c r="L156" s="483"/>
    </row>
    <row r="157" spans="1:12" ht="26.25" customHeight="1" x14ac:dyDescent="0.35">
      <c r="A157" s="576"/>
      <c r="B157" s="576"/>
      <c r="C157" s="576"/>
      <c r="D157" s="576"/>
      <c r="E157" s="576"/>
      <c r="F157" s="576"/>
      <c r="G157" s="576"/>
      <c r="H157" s="653"/>
      <c r="I157" s="461"/>
      <c r="J157" s="483"/>
      <c r="K157" s="483"/>
      <c r="L157" s="483"/>
    </row>
    <row r="158" spans="1:12" ht="26.25" customHeight="1" x14ac:dyDescent="0.35">
      <c r="A158" s="719"/>
      <c r="B158" s="719"/>
      <c r="C158" s="653"/>
      <c r="D158" s="653"/>
      <c r="E158" s="653"/>
      <c r="F158" s="653"/>
      <c r="G158" s="653"/>
      <c r="H158" s="653"/>
      <c r="I158" s="461"/>
      <c r="J158" s="483"/>
      <c r="K158" s="483"/>
      <c r="L158" s="483"/>
    </row>
    <row r="159" spans="1:12" ht="26.25" customHeight="1" x14ac:dyDescent="0.35">
      <c r="A159" s="737" t="s">
        <v>146</v>
      </c>
      <c r="B159" s="738" t="s">
        <v>147</v>
      </c>
      <c r="C159" s="653"/>
      <c r="D159" s="653"/>
      <c r="E159" s="653"/>
      <c r="F159" s="653"/>
      <c r="G159" s="653"/>
      <c r="H159" s="653"/>
      <c r="I159" s="461"/>
      <c r="J159" s="483"/>
      <c r="K159" s="483"/>
      <c r="L159" s="483"/>
    </row>
    <row r="160" spans="1:12" ht="26.25" customHeight="1" thickBot="1" x14ac:dyDescent="0.4">
      <c r="A160" s="741"/>
      <c r="B160" s="741"/>
      <c r="C160" s="653"/>
      <c r="D160" s="653"/>
      <c r="E160" s="653"/>
      <c r="F160" s="653"/>
      <c r="G160" s="653"/>
      <c r="H160" s="653"/>
      <c r="I160" s="461"/>
      <c r="J160" s="483"/>
      <c r="K160" s="483"/>
      <c r="L160" s="483"/>
    </row>
    <row r="161" spans="1:12" ht="26.25" customHeight="1" x14ac:dyDescent="0.45">
      <c r="A161" s="742" t="s">
        <v>48</v>
      </c>
      <c r="B161" s="743">
        <f>AVERAGE(F109:F114,F144:F149)</f>
        <v>0.95664277987644886</v>
      </c>
      <c r="C161" s="653"/>
      <c r="D161" s="653"/>
      <c r="E161" s="653"/>
      <c r="F161" s="653"/>
      <c r="G161" s="653"/>
      <c r="H161" s="653"/>
      <c r="I161" s="461"/>
      <c r="J161" s="483"/>
      <c r="K161" s="483"/>
      <c r="L161" s="483"/>
    </row>
    <row r="162" spans="1:12" ht="26.25" customHeight="1" x14ac:dyDescent="0.45">
      <c r="A162" s="744" t="s">
        <v>61</v>
      </c>
      <c r="B162" s="745">
        <f>STDEV(F109:F114,F144:F149)/B161</f>
        <v>8.3317325548803708E-2</v>
      </c>
      <c r="C162" s="653"/>
      <c r="D162" s="653"/>
      <c r="E162" s="653"/>
      <c r="F162" s="653"/>
      <c r="G162" s="653"/>
      <c r="H162" s="653"/>
      <c r="I162" s="461"/>
      <c r="J162" s="483"/>
      <c r="K162" s="483"/>
      <c r="L162" s="483"/>
    </row>
    <row r="163" spans="1:12" ht="26.25" customHeight="1" thickBot="1" x14ac:dyDescent="0.5">
      <c r="A163" s="746" t="s">
        <v>3</v>
      </c>
      <c r="B163" s="747">
        <f>COUNT(F109:F114,F144:F149)</f>
        <v>12</v>
      </c>
      <c r="C163" s="653"/>
      <c r="D163" s="653"/>
      <c r="E163" s="653"/>
      <c r="F163" s="653"/>
      <c r="G163" s="653"/>
      <c r="H163" s="653"/>
      <c r="I163" s="461"/>
      <c r="J163" s="483"/>
      <c r="K163" s="483"/>
      <c r="L163" s="483"/>
    </row>
    <row r="164" spans="1:12" ht="26.25" customHeight="1" x14ac:dyDescent="0.35">
      <c r="A164" s="483"/>
      <c r="B164" s="749" t="s">
        <v>98</v>
      </c>
      <c r="C164" s="653"/>
      <c r="D164" s="653"/>
      <c r="E164" s="653"/>
      <c r="F164" s="653"/>
      <c r="G164" s="653"/>
      <c r="H164" s="653"/>
      <c r="I164" s="461"/>
      <c r="J164" s="483"/>
      <c r="K164" s="483"/>
      <c r="L164" s="483"/>
    </row>
    <row r="165" spans="1:12" ht="26.25" customHeight="1" x14ac:dyDescent="0.35">
      <c r="A165" s="719"/>
      <c r="B165" s="719"/>
      <c r="C165" s="653"/>
      <c r="D165" s="653"/>
      <c r="E165" s="653"/>
      <c r="F165" s="653"/>
      <c r="G165" s="653"/>
      <c r="H165" s="653"/>
      <c r="I165" s="461"/>
      <c r="J165" s="483"/>
      <c r="K165" s="483"/>
      <c r="L165" s="483"/>
    </row>
    <row r="166" spans="1:12" ht="26.25" customHeight="1" x14ac:dyDescent="0.45">
      <c r="A166" s="748" t="s">
        <v>148</v>
      </c>
      <c r="B166" s="752" t="str">
        <f>CONCATENATE("The amount  of ", B26, " dissolved as a percentage of the stated label claim is: ")</f>
        <v xml:space="preserve">The amount  of EFAVIRENZ dissolved as a percentage of the stated label claim is: </v>
      </c>
      <c r="C166" s="653"/>
      <c r="D166" s="653"/>
      <c r="E166" s="462">
        <f>B161</f>
        <v>0.95664277987644886</v>
      </c>
      <c r="F166" s="576"/>
      <c r="G166" s="653"/>
      <c r="H166" s="653"/>
      <c r="I166" s="461"/>
      <c r="J166" s="483"/>
      <c r="K166" s="483"/>
      <c r="L166" s="483"/>
    </row>
    <row r="167" spans="1:12" ht="19.5" customHeight="1" x14ac:dyDescent="0.35">
      <c r="A167" s="719"/>
      <c r="B167" s="719"/>
      <c r="C167" s="653"/>
      <c r="D167" s="653"/>
      <c r="E167" s="653"/>
      <c r="F167" s="653"/>
      <c r="G167" s="653"/>
      <c r="H167" s="653"/>
    </row>
    <row r="168" spans="1:12" ht="18.600000000000001" thickBot="1" x14ac:dyDescent="0.4">
      <c r="A168" s="705"/>
      <c r="B168" s="705"/>
      <c r="C168" s="514"/>
      <c r="D168" s="514"/>
      <c r="E168" s="514"/>
      <c r="F168" s="514"/>
      <c r="G168" s="514"/>
      <c r="H168" s="653"/>
    </row>
    <row r="169" spans="1:12" ht="18.600000000000001" customHeight="1" x14ac:dyDescent="0.35">
      <c r="A169" s="483"/>
      <c r="B169" s="797" t="s">
        <v>4</v>
      </c>
      <c r="C169" s="797"/>
      <c r="D169" s="483"/>
      <c r="E169" s="704" t="s">
        <v>5</v>
      </c>
      <c r="F169" s="515"/>
      <c r="G169" s="797" t="s">
        <v>6</v>
      </c>
      <c r="H169" s="797"/>
    </row>
    <row r="170" spans="1:12" ht="69.900000000000006" customHeight="1" x14ac:dyDescent="0.35">
      <c r="A170" s="157" t="s">
        <v>7</v>
      </c>
      <c r="B170" s="158"/>
      <c r="C170" s="158"/>
      <c r="E170" s="158"/>
      <c r="F170" s="3"/>
      <c r="G170" s="159"/>
      <c r="H170" s="159"/>
    </row>
    <row r="171" spans="1:12" ht="37.200000000000003" customHeight="1" x14ac:dyDescent="0.35">
      <c r="A171" s="157" t="s">
        <v>8</v>
      </c>
      <c r="B171" s="160"/>
      <c r="C171" s="160"/>
      <c r="E171" s="160"/>
      <c r="F171" s="3"/>
      <c r="G171" s="161"/>
      <c r="H171" s="161"/>
      <c r="I171" s="3"/>
    </row>
    <row r="172" spans="1:12" ht="18" x14ac:dyDescent="0.35">
      <c r="A172" s="98"/>
      <c r="B172" s="98"/>
      <c r="C172" s="99"/>
      <c r="D172" s="99"/>
      <c r="E172" s="99"/>
      <c r="F172" s="103"/>
      <c r="G172" s="99"/>
      <c r="H172" s="99"/>
      <c r="I172" s="3"/>
    </row>
    <row r="173" spans="1:12" ht="18" x14ac:dyDescent="0.35">
      <c r="A173" s="98"/>
      <c r="B173" s="98"/>
      <c r="C173" s="99"/>
      <c r="D173" s="99"/>
      <c r="E173" s="99"/>
      <c r="F173" s="103"/>
      <c r="G173" s="99"/>
      <c r="H173" s="99"/>
      <c r="I173" s="3"/>
    </row>
    <row r="174" spans="1:12" ht="18" x14ac:dyDescent="0.35">
      <c r="A174" s="98"/>
      <c r="B174" s="98"/>
      <c r="C174" s="99"/>
      <c r="D174" s="99"/>
      <c r="E174" s="99"/>
      <c r="F174" s="103"/>
      <c r="G174" s="99"/>
      <c r="H174" s="99"/>
      <c r="I174" s="3"/>
    </row>
    <row r="175" spans="1:12" ht="18" x14ac:dyDescent="0.35">
      <c r="A175" s="98"/>
      <c r="B175" s="98"/>
      <c r="C175" s="99"/>
      <c r="D175" s="99"/>
      <c r="E175" s="99"/>
      <c r="F175" s="103"/>
      <c r="G175" s="99"/>
      <c r="H175" s="99"/>
      <c r="I175" s="3"/>
    </row>
    <row r="176" spans="1:12" ht="18" x14ac:dyDescent="0.35">
      <c r="A176" s="98"/>
      <c r="B176" s="98"/>
      <c r="C176" s="99"/>
      <c r="D176" s="99"/>
      <c r="E176" s="99"/>
      <c r="F176" s="103"/>
      <c r="G176" s="99"/>
      <c r="H176" s="99"/>
      <c r="I176" s="3"/>
    </row>
    <row r="177" spans="1:9" ht="18" x14ac:dyDescent="0.35">
      <c r="A177" s="98"/>
      <c r="B177" s="98"/>
      <c r="C177" s="99"/>
      <c r="D177" s="99"/>
      <c r="E177" s="99"/>
      <c r="F177" s="103"/>
      <c r="G177" s="99"/>
      <c r="H177" s="99"/>
      <c r="I177" s="3"/>
    </row>
    <row r="178" spans="1:9" ht="18" x14ac:dyDescent="0.35">
      <c r="A178" s="98"/>
      <c r="B178" s="98"/>
      <c r="C178" s="99"/>
      <c r="D178" s="99"/>
      <c r="E178" s="99"/>
      <c r="F178" s="103"/>
      <c r="G178" s="99"/>
      <c r="H178" s="99"/>
      <c r="I178" s="3"/>
    </row>
    <row r="179" spans="1:9" ht="18" x14ac:dyDescent="0.35">
      <c r="A179" s="98"/>
      <c r="B179" s="98"/>
      <c r="C179" s="99"/>
      <c r="D179" s="99"/>
      <c r="E179" s="99"/>
      <c r="F179" s="103"/>
      <c r="G179" s="99"/>
      <c r="H179" s="99"/>
      <c r="I179" s="3"/>
    </row>
    <row r="180" spans="1:9" ht="18" x14ac:dyDescent="0.35">
      <c r="A180" s="98"/>
      <c r="B180" s="98"/>
      <c r="C180" s="99"/>
      <c r="D180" s="99"/>
      <c r="E180" s="99"/>
      <c r="F180" s="103"/>
      <c r="G180" s="99"/>
      <c r="H180" s="99"/>
    </row>
    <row r="297" spans="1:1" x14ac:dyDescent="0.3">
      <c r="A297" s="1">
        <v>5</v>
      </c>
    </row>
  </sheetData>
  <sheetProtection formatColumns="0" formatRows="0" insertColumns="0" insertHyperlinks="0" deleteColumns="0" deleteRows="0" autoFilter="0" pivotTables="0"/>
  <mergeCells count="33">
    <mergeCell ref="C156:D156"/>
    <mergeCell ref="A1:I7"/>
    <mergeCell ref="A8:I14"/>
    <mergeCell ref="A118:B119"/>
    <mergeCell ref="I93:I94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C83:G83"/>
    <mergeCell ref="C85:H85"/>
    <mergeCell ref="B169:C169"/>
    <mergeCell ref="G169:H169"/>
    <mergeCell ref="A16:H16"/>
    <mergeCell ref="A17:H17"/>
    <mergeCell ref="C29:G29"/>
    <mergeCell ref="C31:H31"/>
    <mergeCell ref="C32:H32"/>
    <mergeCell ref="C64:C67"/>
    <mergeCell ref="D64:D67"/>
    <mergeCell ref="C121:D121"/>
    <mergeCell ref="C86:H86"/>
    <mergeCell ref="F90:G90"/>
    <mergeCell ref="A100:B101"/>
    <mergeCell ref="F125:G125"/>
    <mergeCell ref="A135:B136"/>
    <mergeCell ref="A153:B154"/>
  </mergeCells>
  <conditionalFormatting sqref="E51">
    <cfRule type="cellIs" dxfId="9" priority="2" operator="greaterThan">
      <formula>0.02</formula>
    </cfRule>
  </conditionalFormatting>
  <conditionalFormatting sqref="D51">
    <cfRule type="cellIs" dxfId="8" priority="3" operator="greaterThan">
      <formula>0.02</formula>
    </cfRule>
  </conditionalFormatting>
  <conditionalFormatting sqref="G73">
    <cfRule type="cellIs" dxfId="7" priority="4" operator="greaterThan">
      <formula>0.02</formula>
    </cfRule>
  </conditionalFormatting>
  <conditionalFormatting sqref="H73">
    <cfRule type="cellIs" dxfId="6" priority="5" operator="greaterThan">
      <formula>0.02</formula>
    </cfRule>
  </conditionalFormatting>
  <conditionalFormatting sqref="D105">
    <cfRule type="cellIs" dxfId="5" priority="6" operator="greaterThan">
      <formula>0.02</formula>
    </cfRule>
  </conditionalFormatting>
  <conditionalFormatting sqref="I39">
    <cfRule type="cellIs" dxfId="4" priority="7" operator="lessThanOrEqual">
      <formula>0.02</formula>
    </cfRule>
  </conditionalFormatting>
  <conditionalFormatting sqref="I39">
    <cfRule type="cellIs" dxfId="3" priority="8" operator="greaterThan">
      <formula>0.02</formula>
    </cfRule>
  </conditionalFormatting>
  <conditionalFormatting sqref="I93">
    <cfRule type="cellIs" dxfId="2" priority="9" operator="lessThanOrEqual">
      <formula>0.02</formula>
    </cfRule>
  </conditionalFormatting>
  <conditionalFormatting sqref="I93">
    <cfRule type="cellIs" dxfId="1" priority="10" operator="greaterThan">
      <formula>0.02</formula>
    </cfRule>
  </conditionalFormatting>
  <conditionalFormatting sqref="D140">
    <cfRule type="cellIs" dxfId="0" priority="1" operator="greaterThan">
      <formula>0.02</formula>
    </cfRule>
  </conditionalFormatting>
  <printOptions horizontalCentered="1"/>
  <pageMargins left="0.7" right="0.7" top="0.75" bottom="0.75" header="0.3" footer="0.3"/>
  <pageSetup scale="26" fitToHeight="2" orientation="portrait" r:id="rId1"/>
  <headerFooter>
    <oddHeader>&amp;LVer 3</oddHeader>
    <oddFooter>&amp;LNQCL/ADDO/014&amp;CPage &amp;P of &amp;N&amp;R&amp;D &amp;T</oddFooter>
  </headerFooter>
  <rowBreaks count="1" manualBreakCount="1">
    <brk id="122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SST 3TC</vt:lpstr>
      <vt:lpstr>SST TDF</vt:lpstr>
      <vt:lpstr>SST EFV</vt:lpstr>
      <vt:lpstr>Uniformity </vt:lpstr>
      <vt:lpstr>3TC</vt:lpstr>
      <vt:lpstr>TDF</vt:lpstr>
      <vt:lpstr>EFV</vt:lpstr>
      <vt:lpstr>'3TC'!Print_Area</vt:lpstr>
      <vt:lpstr>EFV!Print_Area</vt:lpstr>
      <vt:lpstr>'SST 3TC'!Print_Area</vt:lpstr>
      <vt:lpstr>'SST EFV'!Print_Area</vt:lpstr>
      <vt:lpstr>'SST TDF'!Print_Area</vt:lpstr>
      <vt:lpstr>TDF!Print_Area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2016-05-26T06:56:42Z</cp:lastPrinted>
  <dcterms:created xsi:type="dcterms:W3CDTF">2005-07-05T10:19:27Z</dcterms:created>
  <dcterms:modified xsi:type="dcterms:W3CDTF">2016-05-26T07:01:01Z</dcterms:modified>
</cp:coreProperties>
</file>