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/>
  </bookViews>
  <sheets>
    <sheet name="TENO SST" sheetId="7" r:id="rId1"/>
    <sheet name="LAM SST " sheetId="8" r:id="rId2"/>
    <sheet name="Uniformity" sheetId="6" r:id="rId3"/>
    <sheet name="Lamivudine" sheetId="2" r:id="rId4"/>
    <sheet name="Tenofovir Disoproxil Fumarate" sheetId="3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B53" i="7"/>
  <c r="F52" i="7"/>
  <c r="E52" i="7"/>
  <c r="D52" i="7"/>
  <c r="C52" i="7"/>
  <c r="B52" i="7"/>
  <c r="B43" i="7"/>
  <c r="B40" i="7"/>
  <c r="B32" i="7"/>
  <c r="F30" i="7"/>
  <c r="E30" i="7"/>
  <c r="D30" i="7"/>
  <c r="C30" i="7"/>
  <c r="B30" i="7"/>
  <c r="B31" i="7" s="1"/>
  <c r="B21" i="7"/>
  <c r="B57" i="3" l="1"/>
  <c r="B57" i="2"/>
  <c r="C46" i="6"/>
  <c r="D49" i="6" s="1"/>
  <c r="C45" i="6"/>
  <c r="D41" i="6"/>
  <c r="D37" i="6"/>
  <c r="D33" i="6"/>
  <c r="D29" i="6"/>
  <c r="D25" i="6"/>
  <c r="C19" i="6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120" i="2"/>
  <c r="B116" i="2"/>
  <c r="D100" i="2" s="1"/>
  <c r="B98" i="2"/>
  <c r="F95" i="2"/>
  <c r="D95" i="2"/>
  <c r="B87" i="2"/>
  <c r="D97" i="2" s="1"/>
  <c r="B83" i="2"/>
  <c r="B81" i="2"/>
  <c r="B80" i="2"/>
  <c r="B79" i="2"/>
  <c r="C76" i="2"/>
  <c r="B68" i="2"/>
  <c r="C56" i="2"/>
  <c r="B55" i="2"/>
  <c r="B45" i="2"/>
  <c r="D48" i="2" s="1"/>
  <c r="F42" i="2"/>
  <c r="D42" i="2"/>
  <c r="B34" i="2"/>
  <c r="F44" i="2" s="1"/>
  <c r="B30" i="2"/>
  <c r="D101" i="3" l="1"/>
  <c r="I92" i="3"/>
  <c r="B69" i="3"/>
  <c r="I39" i="3"/>
  <c r="D102" i="3"/>
  <c r="F45" i="3"/>
  <c r="F46" i="3" s="1"/>
  <c r="I92" i="2"/>
  <c r="D101" i="2"/>
  <c r="D102" i="2" s="1"/>
  <c r="B69" i="2"/>
  <c r="C50" i="6"/>
  <c r="D26" i="6"/>
  <c r="D30" i="6"/>
  <c r="D34" i="6"/>
  <c r="D38" i="6"/>
  <c r="D42" i="6"/>
  <c r="B49" i="6"/>
  <c r="D50" i="6"/>
  <c r="D27" i="6"/>
  <c r="D31" i="6"/>
  <c r="D35" i="6"/>
  <c r="D39" i="6"/>
  <c r="D43" i="6"/>
  <c r="C49" i="6"/>
  <c r="D24" i="6"/>
  <c r="D28" i="6"/>
  <c r="D32" i="6"/>
  <c r="D36" i="6"/>
  <c r="D40" i="6"/>
  <c r="I39" i="2"/>
  <c r="D44" i="2"/>
  <c r="D49" i="2"/>
  <c r="F45" i="2"/>
  <c r="G41" i="2" s="1"/>
  <c r="D98" i="2"/>
  <c r="D99" i="2" s="1"/>
  <c r="D45" i="2"/>
  <c r="E41" i="2" s="1"/>
  <c r="D98" i="3"/>
  <c r="E94" i="3" s="1"/>
  <c r="F46" i="2"/>
  <c r="G38" i="2"/>
  <c r="G40" i="2"/>
  <c r="G41" i="3"/>
  <c r="D49" i="3"/>
  <c r="F98" i="3"/>
  <c r="E91" i="2"/>
  <c r="F97" i="2"/>
  <c r="F98" i="2" s="1"/>
  <c r="F99" i="2" s="1"/>
  <c r="D44" i="3"/>
  <c r="D45" i="3" s="1"/>
  <c r="D46" i="3" s="1"/>
  <c r="G92" i="3"/>
  <c r="G94" i="3"/>
  <c r="G93" i="3"/>
  <c r="G38" i="3" l="1"/>
  <c r="E91" i="3"/>
  <c r="G40" i="3"/>
  <c r="G39" i="3"/>
  <c r="E94" i="2"/>
  <c r="E39" i="2"/>
  <c r="D46" i="2"/>
  <c r="E38" i="2"/>
  <c r="E40" i="2"/>
  <c r="G39" i="2"/>
  <c r="E92" i="2"/>
  <c r="G94" i="2"/>
  <c r="E93" i="2"/>
  <c r="G92" i="2"/>
  <c r="E40" i="3"/>
  <c r="E41" i="3"/>
  <c r="G91" i="2"/>
  <c r="D99" i="3"/>
  <c r="E93" i="3"/>
  <c r="E92" i="3"/>
  <c r="G93" i="2"/>
  <c r="G91" i="3"/>
  <c r="G95" i="3" s="1"/>
  <c r="F99" i="3"/>
  <c r="E39" i="3"/>
  <c r="E38" i="3"/>
  <c r="E95" i="3" l="1"/>
  <c r="D105" i="3"/>
  <c r="G42" i="3"/>
  <c r="D103" i="3"/>
  <c r="E108" i="3" s="1"/>
  <c r="E95" i="2"/>
  <c r="G95" i="2"/>
  <c r="D103" i="2"/>
  <c r="E111" i="2" s="1"/>
  <c r="F111" i="2" s="1"/>
  <c r="D52" i="2"/>
  <c r="E42" i="2"/>
  <c r="D50" i="2"/>
  <c r="G66" i="2" s="1"/>
  <c r="H66" i="2" s="1"/>
  <c r="G42" i="2"/>
  <c r="D105" i="2"/>
  <c r="D52" i="3"/>
  <c r="D50" i="3"/>
  <c r="E42" i="3"/>
  <c r="E111" i="3" l="1"/>
  <c r="F111" i="3" s="1"/>
  <c r="E112" i="3"/>
  <c r="F112" i="3" s="1"/>
  <c r="D104" i="3"/>
  <c r="E109" i="3"/>
  <c r="F109" i="3" s="1"/>
  <c r="E113" i="3"/>
  <c r="F113" i="3" s="1"/>
  <c r="E110" i="3"/>
  <c r="F110" i="3" s="1"/>
  <c r="E113" i="2"/>
  <c r="F113" i="2" s="1"/>
  <c r="E110" i="2"/>
  <c r="F110" i="2" s="1"/>
  <c r="E112" i="2"/>
  <c r="F112" i="2" s="1"/>
  <c r="D104" i="2"/>
  <c r="E109" i="2"/>
  <c r="F109" i="2" s="1"/>
  <c r="E108" i="2"/>
  <c r="F108" i="2" s="1"/>
  <c r="G65" i="2"/>
  <c r="H65" i="2" s="1"/>
  <c r="G60" i="2"/>
  <c r="H60" i="2" s="1"/>
  <c r="G68" i="2"/>
  <c r="H68" i="2" s="1"/>
  <c r="G62" i="2"/>
  <c r="H62" i="2" s="1"/>
  <c r="G69" i="2"/>
  <c r="H69" i="2" s="1"/>
  <c r="G67" i="2"/>
  <c r="H67" i="2" s="1"/>
  <c r="G71" i="2"/>
  <c r="H71" i="2" s="1"/>
  <c r="G61" i="2"/>
  <c r="H61" i="2" s="1"/>
  <c r="G70" i="2"/>
  <c r="H70" i="2" s="1"/>
  <c r="G64" i="2"/>
  <c r="H64" i="2" s="1"/>
  <c r="G63" i="2"/>
  <c r="H63" i="2" s="1"/>
  <c r="D51" i="2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F108" i="3"/>
  <c r="E117" i="3" l="1"/>
  <c r="E115" i="3"/>
  <c r="E116" i="3" s="1"/>
  <c r="E117" i="2"/>
  <c r="E115" i="2"/>
  <c r="E116" i="2" s="1"/>
  <c r="G72" i="2"/>
  <c r="G73" i="2" s="1"/>
  <c r="G74" i="2"/>
  <c r="F117" i="3"/>
  <c r="F115" i="3"/>
  <c r="H74" i="2"/>
  <c r="H72" i="2"/>
  <c r="F117" i="2"/>
  <c r="F115" i="2"/>
  <c r="H60" i="3"/>
  <c r="G74" i="3"/>
  <c r="G72" i="3"/>
  <c r="G73" i="3" s="1"/>
  <c r="G120" i="2" l="1"/>
  <c r="F116" i="2"/>
  <c r="G76" i="2"/>
  <c r="H73" i="2"/>
  <c r="G120" i="3"/>
  <c r="F116" i="3"/>
  <c r="H74" i="3"/>
  <c r="H72" i="3"/>
  <c r="G76" i="3" l="1"/>
  <c r="H73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<sst xmlns="http://schemas.openxmlformats.org/spreadsheetml/2006/main" count="442" uniqueCount="133">
  <si>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</si>
  <si>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</si>
  <si>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</si>
  <si>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</si>
  <si>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</si>
  <si>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Lamivudine and Tenofovir Disoproxil Fumarate Tablets 300 mg/300 mg</t>
  </si>
  <si>
    <t>% age Purity:</t>
  </si>
  <si>
    <t>NDQB201604879</t>
  </si>
  <si>
    <t>Weight (mg):</t>
  </si>
  <si>
    <t>Lamivudine and Tenofovir Disoproxil Fumarate</t>
  </si>
  <si>
    <t>Standard Conc (mg/mL):</t>
  </si>
  <si>
    <t>Each tablet contains lamivudine 300mg, Tenofovir Disproxil fumarate 300mg</t>
  </si>
  <si>
    <t>2016-04-26 13:46:14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</si>
  <si>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</si>
  <si>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</si>
  <si>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</si>
  <si>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</si>
  <si>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</si>
  <si>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</si>
  <si>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</si>
  <si>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</si>
  <si>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</si>
  <si>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</si>
  <si>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</si>
  <si>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</si>
  <si>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</si>
  <si>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</si>
  <si>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</si>
  <si>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</si>
  <si>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</si>
  <si>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</si>
  <si>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</si>
  <si>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</si>
  <si>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</si>
  <si>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</si>
  <si>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</si>
  <si>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</si>
  <si>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</si>
  <si>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</si>
  <si>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</si>
  <si>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</si>
  <si>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</si>
  <si>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</si>
  <si>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</si>
  <si>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</si>
  <si>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</si>
  <si>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</si>
  <si>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</si>
  <si>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</si>
  <si>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</si>
  <si>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</si>
  <si>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</si>
  <si>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</si>
  <si>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</si>
  <si>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</si>
  <si>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</si>
  <si>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</si>
  <si>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</si>
  <si>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</si>
  <si>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</si>
  <si>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</si>
  <si>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</si>
  <si>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</si>
  <si>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</si>
  <si>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</si>
  <si>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</si>
  <si>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</si>
  <si>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</si>
  <si>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</si>
  <si>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</si>
  <si>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</si>
  <si>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</si>
  <si>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</si>
  <si>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</si>
  <si>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</si>
  <si>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</si>
  <si>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</si>
  <si>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</si>
  <si>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</si>
  <si>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</si>
  <si>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</si>
  <si>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</si>
  <si>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</si>
  <si>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</si>
  <si>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</si>
  <si>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</si>
  <si>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</si>
  <si>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</si>
  <si>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</si>
  <si>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</si>
  <si>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</si>
  <si>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</si>
  <si>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</si>
  <si>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</si>
  <si>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</si>
  <si>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</si>
  <si>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</si>
  <si>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</si>
  <si>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</si>
  <si>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</si>
  <si>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</si>
  <si>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</si>
  <si>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</si>
  <si>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</si>
  <si>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</si>
  <si>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</si>
  <si>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</si>
  <si>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</si>
  <si>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</si>
  <si>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</si>
  <si>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</si>
  <si>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</si>
  <si>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</si>
  <si>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</si>
  <si>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</si>
  <si>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300mg and Tenofovir Disoproxil Fumarate 300mg Tablets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</si>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</sst>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0" fillId="2" borderId="0"/>
    <xf numFmtId="0" fontId="20" fillId="2" borderId="0"/>
    <xf numFmtId="0" fontId="20" fillId="2" borderId="0"/>
    <xf numFmtId="0" fontId="20" fillId="2" borderId="0"/>
  </cellStyleXfs>
  <cellXfs count="557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3" borderId="21" xfId="0" applyFont="1" applyFill="1" applyBorder="1" applyAlignment="1" applyProtection="1">
      <alignment horizontal="center"/>
      <protection locked="0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3" borderId="21" xfId="0" applyFont="1" applyFill="1" applyBorder="1" applyAlignment="1" applyProtection="1">
      <alignment horizontal="center"/>
      <protection locked="0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21" fillId="2" borderId="0" xfId="2" applyFont="1" applyFill="1"/>
    <xf numFmtId="0" fontId="22" fillId="2" borderId="0" xfId="2" applyFont="1" applyFill="1"/>
    <xf numFmtId="0" fontId="22" fillId="2" borderId="0" xfId="2" applyFont="1" applyFill="1" applyAlignment="1">
      <alignment horizontal="right"/>
    </xf>
    <xf numFmtId="0" fontId="24" fillId="2" borderId="0" xfId="2" applyFont="1" applyFill="1"/>
    <xf numFmtId="0" fontId="24" fillId="2" borderId="0" xfId="2" applyFont="1" applyFill="1" applyAlignment="1">
      <alignment horizontal="left"/>
    </xf>
    <xf numFmtId="0" fontId="25" fillId="2" borderId="0" xfId="2" applyFont="1" applyFill="1" applyAlignment="1">
      <alignment horizontal="left"/>
    </xf>
    <xf numFmtId="0" fontId="25" fillId="2" borderId="0" xfId="2" applyFont="1" applyFill="1" applyAlignment="1">
      <alignment horizontal="center"/>
    </xf>
    <xf numFmtId="0" fontId="26" fillId="2" borderId="0" xfId="2" applyFont="1" applyFill="1"/>
    <xf numFmtId="0" fontId="25" fillId="2" borderId="0" xfId="2" applyFont="1" applyFill="1"/>
    <xf numFmtId="2" fontId="25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center"/>
    </xf>
    <xf numFmtId="164" fontId="25" fillId="2" borderId="0" xfId="2" applyNumberFormat="1" applyFont="1" applyFill="1" applyAlignment="1">
      <alignment horizontal="center"/>
    </xf>
    <xf numFmtId="22" fontId="26" fillId="2" borderId="0" xfId="2" applyNumberFormat="1" applyFont="1" applyFill="1"/>
    <xf numFmtId="0" fontId="25" fillId="2" borderId="1" xfId="2" applyFont="1" applyFill="1" applyBorder="1" applyAlignment="1">
      <alignment horizontal="center"/>
    </xf>
    <xf numFmtId="0" fontId="25" fillId="2" borderId="2" xfId="2" applyFont="1" applyFill="1" applyBorder="1" applyAlignment="1">
      <alignment horizontal="center"/>
    </xf>
    <xf numFmtId="0" fontId="26" fillId="2" borderId="3" xfId="2" applyFont="1" applyFill="1" applyBorder="1" applyAlignment="1">
      <alignment horizontal="center"/>
    </xf>
    <xf numFmtId="0" fontId="27" fillId="3" borderId="3" xfId="2" applyFont="1" applyFill="1" applyBorder="1" applyAlignment="1" applyProtection="1">
      <alignment horizontal="center"/>
      <protection locked="0"/>
    </xf>
    <xf numFmtId="2" fontId="27" fillId="3" borderId="3" xfId="2" applyNumberFormat="1" applyFont="1" applyFill="1" applyBorder="1" applyAlignment="1" applyProtection="1">
      <alignment horizontal="center"/>
      <protection locked="0"/>
    </xf>
    <xf numFmtId="2" fontId="27" fillId="3" borderId="4" xfId="2" applyNumberFormat="1" applyFont="1" applyFill="1" applyBorder="1" applyAlignment="1" applyProtection="1">
      <alignment horizontal="center"/>
      <protection locked="0"/>
    </xf>
    <xf numFmtId="0" fontId="27" fillId="3" borderId="5" xfId="2" applyFont="1" applyFill="1" applyBorder="1" applyAlignment="1" applyProtection="1">
      <alignment horizontal="center"/>
      <protection locked="0"/>
    </xf>
    <xf numFmtId="2" fontId="27" fillId="3" borderId="5" xfId="2" applyNumberFormat="1" applyFont="1" applyFill="1" applyBorder="1" applyAlignment="1" applyProtection="1">
      <alignment horizontal="center"/>
      <protection locked="0"/>
    </xf>
    <xf numFmtId="0" fontId="26" fillId="2" borderId="4" xfId="2" applyFont="1" applyFill="1" applyBorder="1"/>
    <xf numFmtId="1" fontId="25" fillId="4" borderId="2" xfId="2" applyNumberFormat="1" applyFont="1" applyFill="1" applyBorder="1" applyAlignment="1">
      <alignment horizontal="center"/>
    </xf>
    <xf numFmtId="1" fontId="25" fillId="4" borderId="1" xfId="2" applyNumberFormat="1" applyFont="1" applyFill="1" applyBorder="1" applyAlignment="1">
      <alignment horizontal="center"/>
    </xf>
    <xf numFmtId="2" fontId="25" fillId="4" borderId="1" xfId="2" applyNumberFormat="1" applyFont="1" applyFill="1" applyBorder="1" applyAlignment="1">
      <alignment horizontal="center"/>
    </xf>
    <xf numFmtId="0" fontId="26" fillId="2" borderId="3" xfId="2" applyFont="1" applyFill="1" applyBorder="1"/>
    <xf numFmtId="10" fontId="25" fillId="5" borderId="1" xfId="2" applyNumberFormat="1" applyFont="1" applyFill="1" applyBorder="1" applyAlignment="1">
      <alignment horizontal="center"/>
    </xf>
    <xf numFmtId="165" fontId="25" fillId="2" borderId="0" xfId="2" applyNumberFormat="1" applyFont="1" applyFill="1" applyAlignment="1">
      <alignment horizontal="center"/>
    </xf>
    <xf numFmtId="0" fontId="26" fillId="2" borderId="6" xfId="2" applyFont="1" applyFill="1" applyBorder="1"/>
    <xf numFmtId="0" fontId="26" fillId="2" borderId="5" xfId="2" applyFont="1" applyFill="1" applyBorder="1"/>
    <xf numFmtId="0" fontId="25" fillId="4" borderId="1" xfId="2" applyFont="1" applyFill="1" applyBorder="1" applyAlignment="1">
      <alignment horizontal="center"/>
    </xf>
    <xf numFmtId="0" fontId="25" fillId="2" borderId="7" xfId="2" applyFont="1" applyFill="1" applyBorder="1" applyAlignment="1">
      <alignment horizontal="center"/>
    </xf>
    <xf numFmtId="0" fontId="26" fillId="2" borderId="7" xfId="2" applyFont="1" applyFill="1" applyBorder="1"/>
    <xf numFmtId="0" fontId="26" fillId="2" borderId="8" xfId="2" applyFont="1" applyFill="1" applyBorder="1"/>
    <xf numFmtId="0" fontId="26" fillId="2" borderId="0" xfId="2" applyFont="1" applyFill="1" applyAlignment="1" applyProtection="1">
      <alignment horizontal="left"/>
      <protection locked="0"/>
    </xf>
    <xf numFmtId="0" fontId="26" fillId="2" borderId="0" xfId="2" applyFont="1" applyFill="1" applyProtection="1">
      <protection locked="0"/>
    </xf>
    <xf numFmtId="0" fontId="22" fillId="2" borderId="9" xfId="2" applyFont="1" applyFill="1" applyBorder="1"/>
    <xf numFmtId="10" fontId="22" fillId="2" borderId="9" xfId="2" applyNumberFormat="1" applyFont="1" applyFill="1" applyBorder="1"/>
    <xf numFmtId="0" fontId="20" fillId="2" borderId="0" xfId="2" applyFill="1"/>
    <xf numFmtId="0" fontId="22" fillId="2" borderId="10" xfId="2" applyFont="1" applyFill="1" applyBorder="1" applyAlignment="1">
      <alignment horizontal="center"/>
    </xf>
    <xf numFmtId="0" fontId="21" fillId="2" borderId="0" xfId="2" applyFont="1" applyFill="1" applyAlignment="1">
      <alignment horizontal="right"/>
    </xf>
    <xf numFmtId="0" fontId="22" fillId="2" borderId="7" xfId="2" applyFont="1" applyFill="1" applyBorder="1"/>
    <xf numFmtId="0" fontId="21" fillId="2" borderId="11" xfId="2" applyFont="1" applyFill="1" applyBorder="1"/>
    <xf numFmtId="0" fontId="22" fillId="2" borderId="11" xfId="2" applyFont="1" applyFill="1" applyBorder="1"/>
    <xf numFmtId="0" fontId="1" fillId="2" borderId="0" xfId="3" applyFont="1" applyFill="1"/>
    <xf numFmtId="0" fontId="20" fillId="2" borderId="0" xfId="3" applyFill="1"/>
    <xf numFmtId="0" fontId="28" fillId="2" borderId="0" xfId="3" applyFont="1" applyFill="1" applyAlignment="1">
      <alignment wrapText="1"/>
    </xf>
    <xf numFmtId="0" fontId="4" fillId="2" borderId="0" xfId="3" applyFont="1" applyFill="1"/>
    <xf numFmtId="0" fontId="6" fillId="2" borderId="0" xfId="3" applyFont="1" applyFill="1"/>
    <xf numFmtId="172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72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29" fillId="2" borderId="0" xfId="3" applyFont="1" applyFill="1"/>
    <xf numFmtId="164" fontId="1" fillId="2" borderId="0" xfId="3" applyNumberFormat="1" applyFont="1" applyFill="1"/>
    <xf numFmtId="164" fontId="5" fillId="2" borderId="19" xfId="3" applyNumberFormat="1" applyFont="1" applyFill="1" applyBorder="1" applyAlignment="1">
      <alignment horizontal="center" wrapText="1"/>
    </xf>
    <xf numFmtId="0" fontId="5" fillId="2" borderId="19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40" xfId="3" applyNumberFormat="1" applyFont="1" applyFill="1" applyBorder="1" applyProtection="1">
      <protection locked="0"/>
    </xf>
    <xf numFmtId="10" fontId="6" fillId="2" borderId="23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40" xfId="3" applyNumberFormat="1" applyFont="1" applyFill="1" applyBorder="1" applyAlignment="1">
      <alignment horizontal="center"/>
    </xf>
    <xf numFmtId="2" fontId="6" fillId="3" borderId="30" xfId="3" applyNumberFormat="1" applyFont="1" applyFill="1" applyBorder="1" applyProtection="1">
      <protection locked="0"/>
    </xf>
    <xf numFmtId="10" fontId="6" fillId="2" borderId="30" xfId="3" applyNumberFormat="1" applyFont="1" applyFill="1" applyBorder="1" applyAlignment="1">
      <alignment horizontal="center"/>
    </xf>
    <xf numFmtId="170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9" xfId="3" applyFont="1" applyFill="1" applyBorder="1" applyAlignment="1">
      <alignment horizontal="right" vertical="center"/>
    </xf>
    <xf numFmtId="170" fontId="6" fillId="2" borderId="19" xfId="3" applyNumberFormat="1" applyFont="1" applyFill="1" applyBorder="1" applyAlignment="1">
      <alignment horizontal="center" vertical="center"/>
    </xf>
    <xf numFmtId="170" fontId="6" fillId="2" borderId="0" xfId="3" applyNumberFormat="1" applyFont="1" applyFill="1" applyAlignment="1">
      <alignment horizontal="center"/>
    </xf>
    <xf numFmtId="164" fontId="5" fillId="2" borderId="19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30" fillId="2" borderId="0" xfId="3" applyNumberFormat="1" applyFont="1" applyFill="1"/>
    <xf numFmtId="0" fontId="5" fillId="2" borderId="19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5" fontId="5" fillId="2" borderId="35" xfId="3" applyNumberFormat="1" applyFont="1" applyFill="1" applyBorder="1" applyAlignment="1">
      <alignment horizontal="center"/>
    </xf>
    <xf numFmtId="2" fontId="5" fillId="2" borderId="19" xfId="3" applyNumberFormat="1" applyFont="1" applyFill="1" applyBorder="1" applyAlignment="1">
      <alignment horizontal="center" vertical="center"/>
    </xf>
    <xf numFmtId="165" fontId="5" fillId="2" borderId="37" xfId="3" applyNumberFormat="1" applyFont="1" applyFill="1" applyBorder="1" applyAlignment="1">
      <alignment horizontal="center"/>
    </xf>
    <xf numFmtId="0" fontId="6" fillId="2" borderId="9" xfId="3" applyFont="1" applyFill="1" applyBorder="1"/>
    <xf numFmtId="0" fontId="6" fillId="2" borderId="0" xfId="3" applyFont="1" applyFill="1" applyAlignment="1">
      <alignment horizontal="center"/>
    </xf>
    <xf numFmtId="10" fontId="6" fillId="2" borderId="9" xfId="3" applyNumberFormat="1" applyFont="1" applyFill="1" applyBorder="1"/>
    <xf numFmtId="0" fontId="5" fillId="2" borderId="10" xfId="3" applyFont="1" applyFill="1" applyBorder="1"/>
    <xf numFmtId="0" fontId="5" fillId="2" borderId="10" xfId="3" applyFont="1" applyFill="1" applyBorder="1" applyAlignment="1">
      <alignment horizontal="center"/>
    </xf>
    <xf numFmtId="0" fontId="6" fillId="2" borderId="10" xfId="3" applyFont="1" applyFill="1" applyBorder="1" applyAlignment="1">
      <alignment horizontal="center"/>
    </xf>
    <xf numFmtId="0" fontId="6" fillId="2" borderId="7" xfId="3" applyFont="1" applyFill="1" applyBorder="1"/>
    <xf numFmtId="0" fontId="5" fillId="2" borderId="11" xfId="3" applyFont="1" applyFill="1" applyBorder="1"/>
    <xf numFmtId="0" fontId="5" fillId="2" borderId="0" xfId="3" applyFont="1" applyFill="1"/>
    <xf numFmtId="0" fontId="6" fillId="2" borderId="11" xfId="3" applyFont="1" applyFill="1" applyBorder="1"/>
    <xf numFmtId="0" fontId="21" fillId="2" borderId="10" xfId="2" applyFont="1" applyFill="1" applyBorder="1" applyAlignment="1">
      <alignment horizontal="center"/>
    </xf>
    <xf numFmtId="170" fontId="5" fillId="2" borderId="23" xfId="3" applyNumberFormat="1" applyFont="1" applyFill="1" applyBorder="1" applyAlignment="1">
      <alignment horizontal="center" vertical="center"/>
    </xf>
    <xf numFmtId="170" fontId="5" fillId="2" borderId="30" xfId="3" applyNumberFormat="1" applyFont="1" applyFill="1" applyBorder="1" applyAlignment="1">
      <alignment horizontal="center" vertical="center"/>
    </xf>
    <xf numFmtId="0" fontId="28" fillId="2" borderId="55" xfId="3" applyFont="1" applyFill="1" applyBorder="1" applyAlignment="1">
      <alignment horizontal="center" wrapText="1"/>
    </xf>
    <xf numFmtId="0" fontId="28" fillId="2" borderId="56" xfId="3" applyFont="1" applyFill="1" applyBorder="1" applyAlignment="1">
      <alignment horizontal="center" wrapText="1"/>
    </xf>
    <xf numFmtId="0" fontId="28" fillId="2" borderId="57" xfId="3" applyFont="1" applyFill="1" applyBorder="1" applyAlignment="1">
      <alignment horizontal="center" wrapText="1"/>
    </xf>
    <xf numFmtId="0" fontId="4" fillId="2" borderId="0" xfId="3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4" fontId="1" fillId="2" borderId="0" xfId="3" applyNumberFormat="1" applyFont="1" applyFill="1" applyAlignment="1">
      <alignment horizontal="center"/>
    </xf>
    <xf numFmtId="0" fontId="23" fillId="2" borderId="0" xfId="2" applyFont="1" applyFill="1" applyAlignment="1">
      <alignment horizontal="center"/>
    </xf>
    <xf numFmtId="0" fontId="21" fillId="2" borderId="10" xfId="2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 wrapText="1"/>
      <protection locked="0"/>
    </xf>
    <xf numFmtId="0" fontId="15" fillId="2" borderId="5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15" fillId="2" borderId="5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5" fillId="2" borderId="55" xfId="0" applyFont="1" applyFill="1" applyBorder="1" applyAlignment="1">
      <alignment horizontal="justify" vertical="center" wrapText="1"/>
    </xf>
    <xf numFmtId="0" fontId="15" fillId="2" borderId="56" xfId="0" applyFont="1" applyFill="1" applyBorder="1" applyAlignment="1">
      <alignment horizontal="justify" vertical="center" wrapText="1"/>
    </xf>
    <xf numFmtId="0" fontId="15" fillId="2" borderId="57" xfId="0" applyFont="1" applyFill="1" applyBorder="1" applyAlignment="1">
      <alignment horizontal="justify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5" fillId="2" borderId="56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10" fontId="11" fillId="2" borderId="40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 applyProtection="1">
      <alignment horizontal="center" vertical="center"/>
      <protection locked="0"/>
    </xf>
    <xf numFmtId="2" fontId="9" fillId="3" borderId="40" xfId="0" applyNumberFormat="1" applyFont="1" applyFill="1" applyBorder="1" applyAlignment="1" applyProtection="1">
      <alignment horizontal="center" vertical="center"/>
      <protection locked="0"/>
    </xf>
    <xf numFmtId="2" fontId="9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2" fontId="25" fillId="2" borderId="0" xfId="2" applyNumberFormat="1" applyFont="1" applyFill="1" applyAlignment="1">
      <alignment horizontal="left"/>
    </xf>
    <xf numFmtId="0" fontId="21" fillId="2" borderId="0" xfId="4" applyFont="1" applyFill="1"/>
    <xf numFmtId="0" fontId="22" fillId="2" borderId="0" xfId="4" applyFont="1" applyFill="1"/>
    <xf numFmtId="0" fontId="22" fillId="2" borderId="0" xfId="4" applyFont="1" applyFill="1" applyAlignment="1">
      <alignment horizontal="right"/>
    </xf>
    <xf numFmtId="0" fontId="23" fillId="2" borderId="0" xfId="4" applyFont="1" applyFill="1" applyAlignment="1">
      <alignment horizontal="center"/>
    </xf>
    <xf numFmtId="0" fontId="24" fillId="2" borderId="0" xfId="4" applyFont="1" applyFill="1"/>
    <xf numFmtId="0" fontId="24" fillId="2" borderId="0" xfId="4" applyFont="1" applyFill="1" applyAlignment="1">
      <alignment horizontal="left"/>
    </xf>
    <xf numFmtId="0" fontId="25" fillId="2" borderId="0" xfId="4" applyFont="1" applyFill="1" applyAlignment="1">
      <alignment horizontal="left"/>
    </xf>
    <xf numFmtId="0" fontId="25" fillId="2" borderId="0" xfId="4" applyFont="1" applyFill="1" applyAlignment="1">
      <alignment horizontal="center"/>
    </xf>
    <xf numFmtId="0" fontId="26" fillId="2" borderId="0" xfId="4" applyFont="1" applyFill="1"/>
    <xf numFmtId="0" fontId="25" fillId="2" borderId="0" xfId="4" applyFont="1" applyFill="1"/>
    <xf numFmtId="2" fontId="25" fillId="2" borderId="0" xfId="4" applyNumberFormat="1" applyFont="1" applyFill="1" applyAlignment="1">
      <alignment horizontal="center"/>
    </xf>
    <xf numFmtId="0" fontId="21" fillId="2" borderId="0" xfId="4" applyFont="1" applyFill="1" applyAlignment="1">
      <alignment horizontal="center"/>
    </xf>
    <xf numFmtId="164" fontId="25" fillId="2" borderId="0" xfId="4" applyNumberFormat="1" applyFont="1" applyFill="1" applyAlignment="1">
      <alignment horizontal="center"/>
    </xf>
    <xf numFmtId="22" fontId="26" fillId="2" borderId="0" xfId="4" applyNumberFormat="1" applyFont="1" applyFill="1"/>
    <xf numFmtId="0" fontId="25" fillId="2" borderId="1" xfId="4" applyFont="1" applyFill="1" applyBorder="1" applyAlignment="1">
      <alignment horizontal="center"/>
    </xf>
    <xf numFmtId="0" fontId="25" fillId="2" borderId="2" xfId="4" applyFont="1" applyFill="1" applyBorder="1" applyAlignment="1">
      <alignment horizontal="center"/>
    </xf>
    <xf numFmtId="0" fontId="26" fillId="2" borderId="3" xfId="4" applyFont="1" applyFill="1" applyBorder="1" applyAlignment="1">
      <alignment horizontal="center"/>
    </xf>
    <xf numFmtId="0" fontId="27" fillId="3" borderId="3" xfId="4" applyFont="1" applyFill="1" applyBorder="1" applyAlignment="1" applyProtection="1">
      <alignment horizontal="center"/>
      <protection locked="0"/>
    </xf>
    <xf numFmtId="2" fontId="27" fillId="3" borderId="3" xfId="4" applyNumberFormat="1" applyFont="1" applyFill="1" applyBorder="1" applyAlignment="1" applyProtection="1">
      <alignment horizontal="center"/>
      <protection locked="0"/>
    </xf>
    <xf numFmtId="2" fontId="27" fillId="3" borderId="4" xfId="4" applyNumberFormat="1" applyFont="1" applyFill="1" applyBorder="1" applyAlignment="1" applyProtection="1">
      <alignment horizontal="center"/>
      <protection locked="0"/>
    </xf>
    <xf numFmtId="0" fontId="27" fillId="3" borderId="5" xfId="4" applyFont="1" applyFill="1" applyBorder="1" applyAlignment="1" applyProtection="1">
      <alignment horizontal="center"/>
      <protection locked="0"/>
    </xf>
    <xf numFmtId="2" fontId="27" fillId="3" borderId="5" xfId="4" applyNumberFormat="1" applyFont="1" applyFill="1" applyBorder="1" applyAlignment="1" applyProtection="1">
      <alignment horizontal="center"/>
      <protection locked="0"/>
    </xf>
    <xf numFmtId="0" fontId="26" fillId="2" borderId="4" xfId="4" applyFont="1" applyFill="1" applyBorder="1"/>
    <xf numFmtId="1" fontId="25" fillId="4" borderId="2" xfId="4" applyNumberFormat="1" applyFont="1" applyFill="1" applyBorder="1" applyAlignment="1">
      <alignment horizontal="center"/>
    </xf>
    <xf numFmtId="1" fontId="25" fillId="4" borderId="1" xfId="4" applyNumberFormat="1" applyFont="1" applyFill="1" applyBorder="1" applyAlignment="1">
      <alignment horizontal="center"/>
    </xf>
    <xf numFmtId="2" fontId="25" fillId="4" borderId="1" xfId="4" applyNumberFormat="1" applyFont="1" applyFill="1" applyBorder="1" applyAlignment="1">
      <alignment horizontal="center"/>
    </xf>
    <xf numFmtId="0" fontId="26" fillId="2" borderId="3" xfId="4" applyFont="1" applyFill="1" applyBorder="1"/>
    <xf numFmtId="10" fontId="25" fillId="5" borderId="1" xfId="4" applyNumberFormat="1" applyFont="1" applyFill="1" applyBorder="1" applyAlignment="1">
      <alignment horizontal="center"/>
    </xf>
    <xf numFmtId="165" fontId="25" fillId="2" borderId="0" xfId="4" applyNumberFormat="1" applyFont="1" applyFill="1" applyAlignment="1">
      <alignment horizontal="center"/>
    </xf>
    <xf numFmtId="0" fontId="26" fillId="2" borderId="6" xfId="4" applyFont="1" applyFill="1" applyBorder="1"/>
    <xf numFmtId="0" fontId="26" fillId="2" borderId="5" xfId="4" applyFont="1" applyFill="1" applyBorder="1"/>
    <xf numFmtId="0" fontId="25" fillId="4" borderId="1" xfId="4" applyFont="1" applyFill="1" applyBorder="1" applyAlignment="1">
      <alignment horizontal="center"/>
    </xf>
    <xf numFmtId="0" fontId="25" fillId="2" borderId="7" xfId="4" applyFont="1" applyFill="1" applyBorder="1" applyAlignment="1">
      <alignment horizontal="center"/>
    </xf>
    <xf numFmtId="0" fontId="26" fillId="2" borderId="7" xfId="4" applyFont="1" applyFill="1" applyBorder="1"/>
    <xf numFmtId="0" fontId="26" fillId="2" borderId="8" xfId="4" applyFont="1" applyFill="1" applyBorder="1"/>
    <xf numFmtId="0" fontId="26" fillId="2" borderId="0" xfId="4" applyFont="1" applyFill="1" applyAlignment="1" applyProtection="1">
      <alignment horizontal="left"/>
      <protection locked="0"/>
    </xf>
    <xf numFmtId="0" fontId="26" fillId="2" borderId="0" xfId="4" applyFont="1" applyFill="1" applyProtection="1">
      <protection locked="0"/>
    </xf>
    <xf numFmtId="2" fontId="25" fillId="2" borderId="0" xfId="4" applyNumberFormat="1" applyFont="1" applyFill="1" applyAlignment="1">
      <alignment horizontal="left"/>
    </xf>
    <xf numFmtId="0" fontId="22" fillId="2" borderId="9" xfId="4" applyFont="1" applyFill="1" applyBorder="1"/>
    <xf numFmtId="0" fontId="22" fillId="2" borderId="0" xfId="4" applyFont="1" applyFill="1" applyAlignment="1">
      <alignment horizontal="center"/>
    </xf>
    <xf numFmtId="10" fontId="22" fillId="2" borderId="9" xfId="4" applyNumberFormat="1" applyFont="1" applyFill="1" applyBorder="1"/>
    <xf numFmtId="0" fontId="20" fillId="2" borderId="0" xfId="4" applyFill="1"/>
    <xf numFmtId="0" fontId="21" fillId="2" borderId="10" xfId="4" applyFont="1" applyFill="1" applyBorder="1" applyAlignment="1">
      <alignment horizontal="center"/>
    </xf>
    <xf numFmtId="0" fontId="21" fillId="2" borderId="10" xfId="4" applyFont="1" applyFill="1" applyBorder="1" applyAlignment="1">
      <alignment horizontal="center"/>
    </xf>
    <xf numFmtId="0" fontId="22" fillId="2" borderId="10" xfId="4" applyFont="1" applyFill="1" applyBorder="1" applyAlignment="1">
      <alignment horizontal="center"/>
    </xf>
    <xf numFmtId="0" fontId="21" fillId="2" borderId="0" xfId="4" applyFont="1" applyFill="1" applyAlignment="1">
      <alignment horizontal="right"/>
    </xf>
    <xf numFmtId="0" fontId="22" fillId="2" borderId="7" xfId="4" applyFont="1" applyFill="1" applyBorder="1"/>
    <xf numFmtId="0" fontId="21" fillId="2" borderId="11" xfId="4" applyFont="1" applyFill="1" applyBorder="1"/>
    <xf numFmtId="0" fontId="22" fillId="2" borderId="11" xfId="4" applyFont="1" applyFill="1" applyBorder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abSelected="1" topLeftCell="A16" workbookViewId="0">
      <selection activeCell="B41" sqref="B41"/>
    </sheetView>
  </sheetViews>
  <sheetFormatPr defaultRowHeight="13.5" x14ac:dyDescent="0.25"/>
  <cols>
    <col min="1" max="1" width="27.5703125" style="370" customWidth="1"/>
    <col min="2" max="2" width="20.42578125" style="370" customWidth="1"/>
    <col min="3" max="3" width="31.85546875" style="370" customWidth="1"/>
    <col min="4" max="4" width="25.85546875" style="370" customWidth="1"/>
    <col min="5" max="5" width="25.7109375" style="370" customWidth="1"/>
    <col min="6" max="6" width="23.7109375" style="370" customWidth="1"/>
    <col min="7" max="7" width="28.42578125" style="370" customWidth="1"/>
    <col min="8" max="8" width="21.5703125" style="370" customWidth="1"/>
    <col min="9" max="9" width="9.140625" style="370" customWidth="1"/>
    <col min="10" max="16384" width="9.140625" style="407"/>
  </cols>
  <sheetData>
    <row r="14" spans="1:6" ht="15" customHeight="1" x14ac:dyDescent="0.3">
      <c r="A14" s="369"/>
      <c r="C14" s="371"/>
      <c r="F14" s="371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372" t="s">
        <v>1</v>
      </c>
      <c r="B16" s="373" t="s">
        <v>2</v>
      </c>
    </row>
    <row r="17" spans="1:6" ht="16.5" customHeight="1" x14ac:dyDescent="0.3">
      <c r="A17" s="374" t="s">
        <v>3</v>
      </c>
      <c r="B17" s="374" t="s">
        <v>115</v>
      </c>
      <c r="D17" s="375"/>
      <c r="E17" s="376"/>
    </row>
    <row r="18" spans="1:6" ht="16.5" customHeight="1" x14ac:dyDescent="0.3">
      <c r="A18" s="377" t="s">
        <v>4</v>
      </c>
      <c r="B18" s="507" t="s">
        <v>130</v>
      </c>
      <c r="C18" s="376"/>
      <c r="D18" s="376"/>
      <c r="E18" s="376"/>
    </row>
    <row r="19" spans="1:6" ht="16.5" customHeight="1" x14ac:dyDescent="0.3">
      <c r="A19" s="377" t="s">
        <v>6</v>
      </c>
      <c r="B19" s="379">
        <v>98.8</v>
      </c>
      <c r="C19" s="376"/>
      <c r="D19" s="376"/>
      <c r="E19" s="376"/>
    </row>
    <row r="20" spans="1:6" ht="16.5" customHeight="1" x14ac:dyDescent="0.3">
      <c r="A20" s="374" t="s">
        <v>8</v>
      </c>
      <c r="B20" s="378">
        <v>17</v>
      </c>
      <c r="C20" s="376"/>
      <c r="D20" s="376"/>
      <c r="E20" s="376"/>
    </row>
    <row r="21" spans="1:6" ht="16.5" customHeight="1" x14ac:dyDescent="0.3">
      <c r="A21" s="374" t="s">
        <v>10</v>
      </c>
      <c r="B21" s="380">
        <f>B20/50*10/25</f>
        <v>0.13600000000000001</v>
      </c>
      <c r="C21" s="376"/>
      <c r="D21" s="376"/>
      <c r="E21" s="376"/>
    </row>
    <row r="22" spans="1:6" ht="15.75" customHeight="1" x14ac:dyDescent="0.25">
      <c r="A22" s="376"/>
      <c r="B22" s="381">
        <v>42506.64707175926</v>
      </c>
      <c r="C22" s="376"/>
      <c r="D22" s="376"/>
      <c r="E22" s="376"/>
    </row>
    <row r="23" spans="1:6" ht="16.5" customHeight="1" x14ac:dyDescent="0.3">
      <c r="A23" s="382" t="s">
        <v>13</v>
      </c>
      <c r="B23" s="383" t="s">
        <v>14</v>
      </c>
      <c r="C23" s="382" t="s">
        <v>15</v>
      </c>
      <c r="D23" s="382" t="s">
        <v>16</v>
      </c>
      <c r="E23" s="382" t="s">
        <v>17</v>
      </c>
      <c r="F23" s="382" t="s">
        <v>131</v>
      </c>
    </row>
    <row r="24" spans="1:6" ht="16.5" customHeight="1" x14ac:dyDescent="0.3">
      <c r="A24" s="384">
        <v>1</v>
      </c>
      <c r="B24" s="385">
        <v>28058888</v>
      </c>
      <c r="C24" s="385">
        <v>9434</v>
      </c>
      <c r="D24" s="386">
        <v>1.1000000000000001</v>
      </c>
      <c r="E24" s="387">
        <v>6.3</v>
      </c>
      <c r="F24" s="387">
        <v>17</v>
      </c>
    </row>
    <row r="25" spans="1:6" ht="16.5" customHeight="1" x14ac:dyDescent="0.3">
      <c r="A25" s="384">
        <v>2</v>
      </c>
      <c r="B25" s="385">
        <v>28147179</v>
      </c>
      <c r="C25" s="385">
        <v>9388.9</v>
      </c>
      <c r="D25" s="386">
        <v>1.1000000000000001</v>
      </c>
      <c r="E25" s="386">
        <v>6.3</v>
      </c>
      <c r="F25" s="386">
        <v>16.899999999999999</v>
      </c>
    </row>
    <row r="26" spans="1:6" ht="16.5" customHeight="1" x14ac:dyDescent="0.3">
      <c r="A26" s="384">
        <v>3</v>
      </c>
      <c r="B26" s="385">
        <v>28096999</v>
      </c>
      <c r="C26" s="385">
        <v>9414.5</v>
      </c>
      <c r="D26" s="386">
        <v>1.1000000000000001</v>
      </c>
      <c r="E26" s="386">
        <v>6.3</v>
      </c>
      <c r="F26" s="386">
        <v>17</v>
      </c>
    </row>
    <row r="27" spans="1:6" ht="16.5" customHeight="1" x14ac:dyDescent="0.3">
      <c r="A27" s="384">
        <v>4</v>
      </c>
      <c r="B27" s="385">
        <v>27951053</v>
      </c>
      <c r="C27" s="385">
        <v>9420.6</v>
      </c>
      <c r="D27" s="386">
        <v>1.1000000000000001</v>
      </c>
      <c r="E27" s="386">
        <v>6.3</v>
      </c>
      <c r="F27" s="386">
        <v>17</v>
      </c>
    </row>
    <row r="28" spans="1:6" ht="16.5" customHeight="1" x14ac:dyDescent="0.3">
      <c r="A28" s="384">
        <v>5</v>
      </c>
      <c r="B28" s="385">
        <v>28095182</v>
      </c>
      <c r="C28" s="385">
        <v>9502.1</v>
      </c>
      <c r="D28" s="386">
        <v>1.1000000000000001</v>
      </c>
      <c r="E28" s="386">
        <v>6.3</v>
      </c>
      <c r="F28" s="386">
        <v>17</v>
      </c>
    </row>
    <row r="29" spans="1:6" ht="16.5" customHeight="1" x14ac:dyDescent="0.3">
      <c r="A29" s="384">
        <v>6</v>
      </c>
      <c r="B29" s="388">
        <v>28077619</v>
      </c>
      <c r="C29" s="388">
        <v>9487.2999999999993</v>
      </c>
      <c r="D29" s="389">
        <v>1.1000000000000001</v>
      </c>
      <c r="E29" s="389">
        <v>6.3</v>
      </c>
      <c r="F29" s="389">
        <v>17</v>
      </c>
    </row>
    <row r="30" spans="1:6" ht="16.5" customHeight="1" x14ac:dyDescent="0.3">
      <c r="A30" s="390" t="s">
        <v>18</v>
      </c>
      <c r="B30" s="391">
        <f>AVERAGE(B24:B29)</f>
        <v>28071153.333333332</v>
      </c>
      <c r="C30" s="392">
        <f>AVERAGE(C24:C29)</f>
        <v>9441.2333333333318</v>
      </c>
      <c r="D30" s="393">
        <f>AVERAGE(D24:D29)</f>
        <v>1.0999999999999999</v>
      </c>
      <c r="E30" s="393">
        <f>AVERAGE(E24:E29)</f>
        <v>6.3</v>
      </c>
      <c r="F30" s="393">
        <f>AVERAGE(F24:F29)</f>
        <v>16.983333333333334</v>
      </c>
    </row>
    <row r="31" spans="1:6" ht="16.5" customHeight="1" x14ac:dyDescent="0.3">
      <c r="A31" s="394" t="s">
        <v>19</v>
      </c>
      <c r="B31" s="395">
        <f>(STDEV(B24:B29)/B30)</f>
        <v>2.3436865664604625E-3</v>
      </c>
      <c r="C31" s="396"/>
      <c r="D31" s="396"/>
      <c r="E31" s="397"/>
      <c r="F31" s="397"/>
    </row>
    <row r="32" spans="1:6" s="370" customFormat="1" ht="16.5" customHeight="1" x14ac:dyDescent="0.3">
      <c r="A32" s="398" t="s">
        <v>20</v>
      </c>
      <c r="B32" s="399">
        <f>COUNT(B24:B29)</f>
        <v>6</v>
      </c>
      <c r="C32" s="400"/>
      <c r="D32" s="401"/>
      <c r="E32" s="402"/>
      <c r="F32" s="402"/>
    </row>
    <row r="33" spans="1:6" s="370" customFormat="1" ht="15.75" customHeight="1" x14ac:dyDescent="0.25">
      <c r="A33" s="376"/>
      <c r="B33" s="376"/>
      <c r="C33" s="376"/>
      <c r="D33" s="376"/>
      <c r="E33" s="376"/>
    </row>
    <row r="34" spans="1:6" s="370" customFormat="1" ht="16.5" customHeight="1" x14ac:dyDescent="0.3">
      <c r="A34" s="377" t="s">
        <v>21</v>
      </c>
      <c r="B34" s="403" t="s">
        <v>116</v>
      </c>
      <c r="C34" s="404"/>
      <c r="D34" s="404"/>
      <c r="E34" s="404"/>
    </row>
    <row r="35" spans="1:6" ht="16.5" customHeight="1" x14ac:dyDescent="0.3">
      <c r="A35" s="377"/>
      <c r="B35" s="403" t="s">
        <v>117</v>
      </c>
      <c r="C35" s="404"/>
      <c r="D35" s="404"/>
      <c r="E35" s="404"/>
    </row>
    <row r="36" spans="1:6" ht="16.5" customHeight="1" x14ac:dyDescent="0.3">
      <c r="A36" s="377"/>
      <c r="B36" s="403" t="s">
        <v>118</v>
      </c>
      <c r="C36" s="404"/>
      <c r="D36" s="404"/>
      <c r="E36" s="404"/>
    </row>
    <row r="37" spans="1:6" ht="15.75" customHeight="1" x14ac:dyDescent="0.3">
      <c r="A37" s="376"/>
      <c r="B37" s="376" t="s">
        <v>132</v>
      </c>
      <c r="C37" s="376"/>
      <c r="D37" s="376"/>
      <c r="E37" s="376"/>
    </row>
    <row r="38" spans="1:6" ht="15.75" customHeight="1" x14ac:dyDescent="0.25">
      <c r="A38" s="376"/>
      <c r="B38" s="376"/>
      <c r="C38" s="376"/>
      <c r="D38" s="376"/>
      <c r="E38" s="376"/>
    </row>
    <row r="39" spans="1:6" ht="16.5" customHeight="1" x14ac:dyDescent="0.3">
      <c r="A39" s="372" t="s">
        <v>1</v>
      </c>
      <c r="B39" s="373" t="s">
        <v>22</v>
      </c>
    </row>
    <row r="40" spans="1:6" ht="16.5" customHeight="1" x14ac:dyDescent="0.3">
      <c r="A40" s="377" t="s">
        <v>4</v>
      </c>
      <c r="B40" s="507" t="str">
        <f>B18</f>
        <v>Tenofovir Disoproxil Fumarate</v>
      </c>
      <c r="C40" s="376"/>
      <c r="D40" s="376"/>
      <c r="E40" s="376"/>
    </row>
    <row r="41" spans="1:6" ht="16.5" customHeight="1" x14ac:dyDescent="0.3">
      <c r="A41" s="377" t="s">
        <v>6</v>
      </c>
      <c r="B41" s="378">
        <v>98.8</v>
      </c>
      <c r="C41" s="376"/>
      <c r="D41" s="376"/>
      <c r="E41" s="376"/>
    </row>
    <row r="42" spans="1:6" ht="16.5" customHeight="1" x14ac:dyDescent="0.3">
      <c r="A42" s="374" t="s">
        <v>8</v>
      </c>
      <c r="B42" s="378">
        <v>17</v>
      </c>
      <c r="C42" s="376"/>
      <c r="D42" s="376"/>
      <c r="E42" s="376"/>
    </row>
    <row r="43" spans="1:6" ht="16.5" customHeight="1" x14ac:dyDescent="0.3">
      <c r="A43" s="374" t="s">
        <v>10</v>
      </c>
      <c r="B43" s="380">
        <f>B42/50</f>
        <v>0.34</v>
      </c>
      <c r="C43" s="376"/>
      <c r="D43" s="376"/>
      <c r="E43" s="376"/>
    </row>
    <row r="44" spans="1:6" ht="15.75" customHeight="1" x14ac:dyDescent="0.25">
      <c r="A44" s="376"/>
      <c r="B44" s="376"/>
      <c r="C44" s="376"/>
      <c r="D44" s="376"/>
      <c r="E44" s="376"/>
    </row>
    <row r="45" spans="1:6" ht="16.5" customHeight="1" x14ac:dyDescent="0.3">
      <c r="A45" s="382" t="s">
        <v>13</v>
      </c>
      <c r="B45" s="383" t="s">
        <v>14</v>
      </c>
      <c r="C45" s="382" t="s">
        <v>15</v>
      </c>
      <c r="D45" s="382" t="s">
        <v>16</v>
      </c>
      <c r="E45" s="382" t="s">
        <v>17</v>
      </c>
      <c r="F45" s="382" t="s">
        <v>131</v>
      </c>
    </row>
    <row r="46" spans="1:6" ht="16.5" customHeight="1" x14ac:dyDescent="0.3">
      <c r="A46" s="384">
        <v>1</v>
      </c>
      <c r="B46" s="385">
        <v>89609824</v>
      </c>
      <c r="C46" s="385">
        <v>8450.11</v>
      </c>
      <c r="D46" s="386">
        <v>1.1299999999999999</v>
      </c>
      <c r="E46" s="387">
        <v>4.96</v>
      </c>
      <c r="F46" s="387">
        <v>13.44</v>
      </c>
    </row>
    <row r="47" spans="1:6" ht="16.5" customHeight="1" x14ac:dyDescent="0.3">
      <c r="A47" s="384">
        <v>2</v>
      </c>
      <c r="B47" s="385">
        <v>89798514</v>
      </c>
      <c r="C47" s="385">
        <v>8446.69</v>
      </c>
      <c r="D47" s="386">
        <v>1.1200000000000001</v>
      </c>
      <c r="E47" s="386">
        <v>4.96</v>
      </c>
      <c r="F47" s="386">
        <v>13.45</v>
      </c>
    </row>
    <row r="48" spans="1:6" ht="16.5" customHeight="1" x14ac:dyDescent="0.3">
      <c r="A48" s="384">
        <v>3</v>
      </c>
      <c r="B48" s="385">
        <v>90280958</v>
      </c>
      <c r="C48" s="385">
        <v>8399.2199999999993</v>
      </c>
      <c r="D48" s="386">
        <v>1.1200000000000001</v>
      </c>
      <c r="E48" s="386">
        <v>4.96</v>
      </c>
      <c r="F48" s="386">
        <v>13.46</v>
      </c>
    </row>
    <row r="49" spans="1:7" ht="16.5" customHeight="1" x14ac:dyDescent="0.3">
      <c r="A49" s="384">
        <v>4</v>
      </c>
      <c r="B49" s="385">
        <v>88989886</v>
      </c>
      <c r="C49" s="385">
        <v>8458.7900000000009</v>
      </c>
      <c r="D49" s="386">
        <v>1.1100000000000001</v>
      </c>
      <c r="E49" s="386">
        <v>4.96</v>
      </c>
      <c r="F49" s="386">
        <v>13.47</v>
      </c>
    </row>
    <row r="50" spans="1:7" ht="16.5" customHeight="1" x14ac:dyDescent="0.3">
      <c r="A50" s="384">
        <v>5</v>
      </c>
      <c r="B50" s="385">
        <v>89358910</v>
      </c>
      <c r="C50" s="385">
        <v>8420.44</v>
      </c>
      <c r="D50" s="386">
        <v>1.1399999999999999</v>
      </c>
      <c r="E50" s="386">
        <v>4.96</v>
      </c>
      <c r="F50" s="386">
        <v>13.45</v>
      </c>
    </row>
    <row r="51" spans="1:7" ht="16.5" customHeight="1" x14ac:dyDescent="0.3">
      <c r="A51" s="384">
        <v>6</v>
      </c>
      <c r="B51" s="388">
        <v>89519098</v>
      </c>
      <c r="C51" s="388">
        <v>8420.9599999999991</v>
      </c>
      <c r="D51" s="389">
        <v>1.1299999999999999</v>
      </c>
      <c r="E51" s="389">
        <v>4.96</v>
      </c>
      <c r="F51" s="389">
        <v>13.46</v>
      </c>
    </row>
    <row r="52" spans="1:7" ht="16.5" customHeight="1" x14ac:dyDescent="0.3">
      <c r="A52" s="390" t="s">
        <v>18</v>
      </c>
      <c r="B52" s="391">
        <f>AVERAGE(B46:B51)</f>
        <v>89592865</v>
      </c>
      <c r="C52" s="392">
        <f>AVERAGE(C46:C51)</f>
        <v>8432.7016666666677</v>
      </c>
      <c r="D52" s="393">
        <f>AVERAGE(D46:D51)</f>
        <v>1.125</v>
      </c>
      <c r="E52" s="393">
        <f>AVERAGE(E46:E51)</f>
        <v>4.96</v>
      </c>
      <c r="F52" s="393">
        <f>AVERAGE(F46:F51)</f>
        <v>13.454999999999998</v>
      </c>
    </row>
    <row r="53" spans="1:7" ht="16.5" customHeight="1" x14ac:dyDescent="0.3">
      <c r="A53" s="394" t="s">
        <v>19</v>
      </c>
      <c r="B53" s="395">
        <f>(STDEV(B46:B51)/B52)</f>
        <v>4.8390699537698197E-3</v>
      </c>
      <c r="C53" s="396"/>
      <c r="D53" s="396"/>
      <c r="E53" s="397"/>
      <c r="F53" s="397"/>
    </row>
    <row r="54" spans="1:7" s="370" customFormat="1" ht="16.5" customHeight="1" x14ac:dyDescent="0.3">
      <c r="A54" s="398" t="s">
        <v>20</v>
      </c>
      <c r="B54" s="399">
        <f>COUNT(B46:B51)</f>
        <v>6</v>
      </c>
      <c r="C54" s="400"/>
      <c r="D54" s="401"/>
      <c r="E54" s="402"/>
      <c r="F54" s="402"/>
    </row>
    <row r="55" spans="1:7" s="370" customFormat="1" ht="15.75" customHeight="1" x14ac:dyDescent="0.25">
      <c r="A55" s="376"/>
      <c r="B55" s="376"/>
      <c r="C55" s="376"/>
      <c r="D55" s="376"/>
      <c r="E55" s="376"/>
    </row>
    <row r="56" spans="1:7" s="370" customFormat="1" ht="16.5" customHeight="1" x14ac:dyDescent="0.3">
      <c r="A56" s="377" t="s">
        <v>21</v>
      </c>
      <c r="B56" s="403" t="s">
        <v>116</v>
      </c>
      <c r="C56" s="404"/>
      <c r="D56" s="404"/>
      <c r="E56" s="404"/>
    </row>
    <row r="57" spans="1:7" ht="16.5" customHeight="1" x14ac:dyDescent="0.3">
      <c r="A57" s="377"/>
      <c r="B57" s="403" t="s">
        <v>117</v>
      </c>
      <c r="C57" s="404"/>
      <c r="D57" s="404"/>
      <c r="E57" s="404"/>
    </row>
    <row r="58" spans="1:7" ht="16.5" customHeight="1" x14ac:dyDescent="0.3">
      <c r="A58" s="377"/>
      <c r="B58" s="403" t="s">
        <v>118</v>
      </c>
      <c r="C58" s="404"/>
      <c r="D58" s="404"/>
      <c r="E58" s="404"/>
    </row>
    <row r="59" spans="1:7" ht="14.25" customHeight="1" thickBot="1" x14ac:dyDescent="0.35">
      <c r="A59" s="405"/>
      <c r="B59" s="376" t="s">
        <v>132</v>
      </c>
      <c r="D59" s="406"/>
      <c r="F59" s="407"/>
      <c r="G59" s="407"/>
    </row>
    <row r="60" spans="1:7" ht="15" customHeight="1" x14ac:dyDescent="0.3">
      <c r="B60" s="467" t="s">
        <v>23</v>
      </c>
      <c r="C60" s="467"/>
      <c r="E60" s="457" t="s">
        <v>24</v>
      </c>
      <c r="F60" s="408"/>
      <c r="G60" s="457" t="s">
        <v>25</v>
      </c>
    </row>
    <row r="61" spans="1:7" ht="15" customHeight="1" x14ac:dyDescent="0.3">
      <c r="A61" s="409" t="s">
        <v>26</v>
      </c>
      <c r="B61" s="410"/>
      <c r="C61" s="410"/>
      <c r="E61" s="410"/>
      <c r="G61" s="410"/>
    </row>
    <row r="62" spans="1:7" ht="15" customHeight="1" x14ac:dyDescent="0.3">
      <c r="A62" s="409" t="s">
        <v>27</v>
      </c>
      <c r="B62" s="411"/>
      <c r="C62" s="411"/>
      <c r="E62" s="411"/>
      <c r="G62" s="4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4" workbookViewId="0">
      <selection activeCell="B41" sqref="B41"/>
    </sheetView>
  </sheetViews>
  <sheetFormatPr defaultRowHeight="13.5" x14ac:dyDescent="0.25"/>
  <cols>
    <col min="1" max="1" width="27.5703125" style="509" customWidth="1"/>
    <col min="2" max="2" width="20.42578125" style="509" customWidth="1"/>
    <col min="3" max="3" width="31.85546875" style="509" customWidth="1"/>
    <col min="4" max="4" width="25.85546875" style="509" customWidth="1"/>
    <col min="5" max="5" width="25.7109375" style="509" customWidth="1"/>
    <col min="6" max="6" width="23.140625" style="509" customWidth="1"/>
    <col min="7" max="7" width="28.42578125" style="509" customWidth="1"/>
    <col min="8" max="8" width="21.5703125" style="509" customWidth="1"/>
    <col min="9" max="9" width="9.140625" style="509" customWidth="1"/>
    <col min="10" max="16384" width="9.140625" style="549"/>
  </cols>
  <sheetData>
    <row r="14" spans="1:6" ht="15" customHeight="1" x14ac:dyDescent="0.3">
      <c r="A14" s="508"/>
      <c r="C14" s="510"/>
      <c r="F14" s="510"/>
    </row>
    <row r="15" spans="1:6" ht="18.75" customHeight="1" x14ac:dyDescent="0.3">
      <c r="A15" s="511" t="s">
        <v>0</v>
      </c>
      <c r="B15" s="511"/>
      <c r="C15" s="511"/>
      <c r="D15" s="511"/>
      <c r="E15" s="511"/>
    </row>
    <row r="16" spans="1:6" ht="16.5" customHeight="1" x14ac:dyDescent="0.3">
      <c r="A16" s="512" t="s">
        <v>1</v>
      </c>
      <c r="B16" s="513" t="s">
        <v>2</v>
      </c>
    </row>
    <row r="17" spans="1:5" ht="16.5" customHeight="1" x14ac:dyDescent="0.3">
      <c r="A17" s="514" t="s">
        <v>3</v>
      </c>
      <c r="B17" s="514" t="s">
        <v>115</v>
      </c>
      <c r="D17" s="515"/>
      <c r="E17" s="516"/>
    </row>
    <row r="18" spans="1:5" ht="16.5" customHeight="1" x14ac:dyDescent="0.3">
      <c r="A18" s="517" t="s">
        <v>4</v>
      </c>
      <c r="B18" s="518" t="s">
        <v>119</v>
      </c>
      <c r="C18" s="516"/>
      <c r="D18" s="516"/>
      <c r="E18" s="516"/>
    </row>
    <row r="19" spans="1:5" ht="16.5" customHeight="1" x14ac:dyDescent="0.3">
      <c r="A19" s="517" t="s">
        <v>6</v>
      </c>
      <c r="B19" s="519">
        <v>101.74</v>
      </c>
      <c r="C19" s="516"/>
      <c r="D19" s="516"/>
      <c r="E19" s="516"/>
    </row>
    <row r="20" spans="1:5" ht="16.5" customHeight="1" x14ac:dyDescent="0.3">
      <c r="A20" s="514" t="s">
        <v>8</v>
      </c>
      <c r="B20" s="518">
        <v>18.79</v>
      </c>
      <c r="C20" s="516"/>
      <c r="D20" s="516"/>
      <c r="E20" s="516"/>
    </row>
    <row r="21" spans="1:5" ht="16.5" customHeight="1" x14ac:dyDescent="0.3">
      <c r="A21" s="514" t="s">
        <v>10</v>
      </c>
      <c r="B21" s="520">
        <f>B20/20*3/25</f>
        <v>0.11274000000000001</v>
      </c>
      <c r="C21" s="516"/>
      <c r="D21" s="516"/>
      <c r="E21" s="516"/>
    </row>
    <row r="22" spans="1:5" ht="15.75" customHeight="1" x14ac:dyDescent="0.25">
      <c r="A22" s="516"/>
      <c r="B22" s="521">
        <v>42506.64707175926</v>
      </c>
      <c r="C22" s="516"/>
      <c r="D22" s="516"/>
      <c r="E22" s="516"/>
    </row>
    <row r="23" spans="1:5" ht="16.5" customHeight="1" x14ac:dyDescent="0.3">
      <c r="A23" s="522" t="s">
        <v>13</v>
      </c>
      <c r="B23" s="523" t="s">
        <v>14</v>
      </c>
      <c r="C23" s="522" t="s">
        <v>15</v>
      </c>
      <c r="D23" s="522" t="s">
        <v>16</v>
      </c>
      <c r="E23" s="522" t="s">
        <v>17</v>
      </c>
    </row>
    <row r="24" spans="1:5" ht="16.5" customHeight="1" x14ac:dyDescent="0.3">
      <c r="A24" s="524">
        <v>1</v>
      </c>
      <c r="B24" s="525">
        <v>38771216</v>
      </c>
      <c r="C24" s="525">
        <v>7627.2</v>
      </c>
      <c r="D24" s="526">
        <v>1.1000000000000001</v>
      </c>
      <c r="E24" s="527">
        <v>2.9</v>
      </c>
    </row>
    <row r="25" spans="1:5" ht="16.5" customHeight="1" x14ac:dyDescent="0.3">
      <c r="A25" s="524">
        <v>2</v>
      </c>
      <c r="B25" s="525">
        <v>38899572</v>
      </c>
      <c r="C25" s="525">
        <v>7581</v>
      </c>
      <c r="D25" s="526">
        <v>1.1000000000000001</v>
      </c>
      <c r="E25" s="526">
        <v>2.9</v>
      </c>
    </row>
    <row r="26" spans="1:5" ht="16.5" customHeight="1" x14ac:dyDescent="0.3">
      <c r="A26" s="524">
        <v>3</v>
      </c>
      <c r="B26" s="525">
        <v>38806606</v>
      </c>
      <c r="C26" s="525">
        <v>7611.6</v>
      </c>
      <c r="D26" s="526">
        <v>1.1000000000000001</v>
      </c>
      <c r="E26" s="526">
        <v>2.9</v>
      </c>
    </row>
    <row r="27" spans="1:5" ht="16.5" customHeight="1" x14ac:dyDescent="0.3">
      <c r="A27" s="524">
        <v>4</v>
      </c>
      <c r="B27" s="525">
        <v>38618184</v>
      </c>
      <c r="C27" s="525">
        <v>7600.1</v>
      </c>
      <c r="D27" s="526">
        <v>1.1000000000000001</v>
      </c>
      <c r="E27" s="526">
        <v>2.9</v>
      </c>
    </row>
    <row r="28" spans="1:5" ht="16.5" customHeight="1" x14ac:dyDescent="0.3">
      <c r="A28" s="524">
        <v>5</v>
      </c>
      <c r="B28" s="525">
        <v>38811603</v>
      </c>
      <c r="C28" s="525">
        <v>7604.8</v>
      </c>
      <c r="D28" s="526">
        <v>1.1000000000000001</v>
      </c>
      <c r="E28" s="526">
        <v>2.9</v>
      </c>
    </row>
    <row r="29" spans="1:5" ht="16.5" customHeight="1" x14ac:dyDescent="0.3">
      <c r="A29" s="524">
        <v>6</v>
      </c>
      <c r="B29" s="528">
        <v>38790710</v>
      </c>
      <c r="C29" s="528">
        <v>7590.1</v>
      </c>
      <c r="D29" s="529">
        <v>1.1000000000000001</v>
      </c>
      <c r="E29" s="529">
        <v>2.9</v>
      </c>
    </row>
    <row r="30" spans="1:5" ht="16.5" customHeight="1" x14ac:dyDescent="0.3">
      <c r="A30" s="530" t="s">
        <v>18</v>
      </c>
      <c r="B30" s="531">
        <f>AVERAGE(B24:B29)</f>
        <v>38782981.833333336</v>
      </c>
      <c r="C30" s="532">
        <f>AVERAGE(C24:C29)</f>
        <v>7602.4666666666672</v>
      </c>
      <c r="D30" s="533">
        <f>AVERAGE(D24:D29)</f>
        <v>1.0999999999999999</v>
      </c>
      <c r="E30" s="533">
        <f>AVERAGE(E24:E29)</f>
        <v>2.9</v>
      </c>
    </row>
    <row r="31" spans="1:5" ht="16.5" customHeight="1" x14ac:dyDescent="0.3">
      <c r="A31" s="534" t="s">
        <v>19</v>
      </c>
      <c r="B31" s="535">
        <f>(STDEV(B24:B29)/B30)</f>
        <v>2.3723713555464797E-3</v>
      </c>
      <c r="C31" s="536"/>
      <c r="D31" s="536"/>
      <c r="E31" s="537"/>
    </row>
    <row r="32" spans="1:5" s="509" customFormat="1" ht="16.5" customHeight="1" x14ac:dyDescent="0.3">
      <c r="A32" s="538" t="s">
        <v>20</v>
      </c>
      <c r="B32" s="539">
        <f>COUNT(B24:B29)</f>
        <v>6</v>
      </c>
      <c r="C32" s="540"/>
      <c r="D32" s="541"/>
      <c r="E32" s="542"/>
    </row>
    <row r="33" spans="1:5" s="509" customFormat="1" ht="15.75" customHeight="1" x14ac:dyDescent="0.25">
      <c r="A33" s="516"/>
      <c r="B33" s="516"/>
      <c r="C33" s="516"/>
      <c r="D33" s="516"/>
      <c r="E33" s="516"/>
    </row>
    <row r="34" spans="1:5" s="509" customFormat="1" ht="16.5" customHeight="1" x14ac:dyDescent="0.3">
      <c r="A34" s="517" t="s">
        <v>21</v>
      </c>
      <c r="B34" s="543" t="s">
        <v>116</v>
      </c>
      <c r="C34" s="544"/>
      <c r="D34" s="544"/>
      <c r="E34" s="544"/>
    </row>
    <row r="35" spans="1:5" ht="16.5" customHeight="1" x14ac:dyDescent="0.3">
      <c r="A35" s="517"/>
      <c r="B35" s="543" t="s">
        <v>117</v>
      </c>
      <c r="C35" s="544"/>
      <c r="D35" s="544"/>
      <c r="E35" s="544"/>
    </row>
    <row r="36" spans="1:5" ht="16.5" customHeight="1" x14ac:dyDescent="0.3">
      <c r="A36" s="517"/>
      <c r="B36" s="543" t="s">
        <v>118</v>
      </c>
      <c r="C36" s="544"/>
      <c r="D36" s="544"/>
      <c r="E36" s="544"/>
    </row>
    <row r="37" spans="1:5" ht="15.75" customHeight="1" x14ac:dyDescent="0.25">
      <c r="A37" s="516"/>
      <c r="B37" s="516"/>
      <c r="C37" s="516"/>
      <c r="D37" s="516"/>
      <c r="E37" s="516"/>
    </row>
    <row r="38" spans="1:5" ht="16.5" customHeight="1" x14ac:dyDescent="0.3">
      <c r="A38" s="512" t="s">
        <v>1</v>
      </c>
      <c r="B38" s="513" t="s">
        <v>22</v>
      </c>
    </row>
    <row r="39" spans="1:5" ht="16.5" customHeight="1" x14ac:dyDescent="0.3">
      <c r="A39" s="517" t="s">
        <v>4</v>
      </c>
      <c r="B39" s="545" t="str">
        <f>B18</f>
        <v>Lamivudine</v>
      </c>
      <c r="C39" s="516"/>
      <c r="D39" s="516"/>
      <c r="E39" s="516"/>
    </row>
    <row r="40" spans="1:5" ht="16.5" customHeight="1" x14ac:dyDescent="0.3">
      <c r="A40" s="517" t="s">
        <v>6</v>
      </c>
      <c r="B40" s="518">
        <v>101.74</v>
      </c>
      <c r="C40" s="516"/>
      <c r="D40" s="516"/>
      <c r="E40" s="516"/>
    </row>
    <row r="41" spans="1:5" ht="16.5" customHeight="1" x14ac:dyDescent="0.3">
      <c r="A41" s="514" t="s">
        <v>8</v>
      </c>
      <c r="B41" s="518">
        <v>18.79</v>
      </c>
      <c r="C41" s="516"/>
      <c r="D41" s="516"/>
      <c r="E41" s="516"/>
    </row>
    <row r="42" spans="1:5" ht="16.5" customHeight="1" x14ac:dyDescent="0.3">
      <c r="A42" s="514" t="s">
        <v>10</v>
      </c>
      <c r="B42" s="520">
        <f>B41/50</f>
        <v>0.37579999999999997</v>
      </c>
      <c r="C42" s="516"/>
      <c r="D42" s="516"/>
      <c r="E42" s="516"/>
    </row>
    <row r="43" spans="1:5" ht="15.75" customHeight="1" x14ac:dyDescent="0.25">
      <c r="A43" s="516"/>
      <c r="B43" s="516"/>
      <c r="C43" s="516"/>
      <c r="D43" s="516"/>
      <c r="E43" s="516"/>
    </row>
    <row r="44" spans="1:5" ht="16.5" customHeight="1" x14ac:dyDescent="0.3">
      <c r="A44" s="522" t="s">
        <v>13</v>
      </c>
      <c r="B44" s="523" t="s">
        <v>14</v>
      </c>
      <c r="C44" s="522" t="s">
        <v>15</v>
      </c>
      <c r="D44" s="522" t="s">
        <v>16</v>
      </c>
      <c r="E44" s="522" t="s">
        <v>17</v>
      </c>
    </row>
    <row r="45" spans="1:5" ht="16.5" customHeight="1" x14ac:dyDescent="0.3">
      <c r="A45" s="524">
        <v>1</v>
      </c>
      <c r="B45" s="525">
        <v>119785495</v>
      </c>
      <c r="C45" s="525">
        <v>7087.97</v>
      </c>
      <c r="D45" s="526">
        <v>1.1299999999999999</v>
      </c>
      <c r="E45" s="527">
        <v>2.65</v>
      </c>
    </row>
    <row r="46" spans="1:5" ht="16.5" customHeight="1" x14ac:dyDescent="0.3">
      <c r="A46" s="524">
        <v>2</v>
      </c>
      <c r="B46" s="525">
        <v>120019480</v>
      </c>
      <c r="C46" s="525">
        <v>7064</v>
      </c>
      <c r="D46" s="526">
        <v>1.17</v>
      </c>
      <c r="E46" s="526">
        <v>2.65</v>
      </c>
    </row>
    <row r="47" spans="1:5" ht="16.5" customHeight="1" x14ac:dyDescent="0.3">
      <c r="A47" s="524">
        <v>3</v>
      </c>
      <c r="B47" s="525">
        <v>120428139</v>
      </c>
      <c r="C47" s="525">
        <v>7046.19</v>
      </c>
      <c r="D47" s="526">
        <v>1.1499999999999999</v>
      </c>
      <c r="E47" s="526">
        <v>2.65</v>
      </c>
    </row>
    <row r="48" spans="1:5" ht="16.5" customHeight="1" x14ac:dyDescent="0.3">
      <c r="A48" s="524">
        <v>4</v>
      </c>
      <c r="B48" s="525">
        <v>119307793</v>
      </c>
      <c r="C48" s="525">
        <v>7130.11</v>
      </c>
      <c r="D48" s="526">
        <v>1.1299999999999999</v>
      </c>
      <c r="E48" s="526">
        <v>2.65</v>
      </c>
    </row>
    <row r="49" spans="1:7" ht="16.5" customHeight="1" x14ac:dyDescent="0.3">
      <c r="A49" s="524">
        <v>5</v>
      </c>
      <c r="B49" s="525">
        <v>119654819</v>
      </c>
      <c r="C49" s="525">
        <v>7107.29</v>
      </c>
      <c r="D49" s="526">
        <v>1.1599999999999999</v>
      </c>
      <c r="E49" s="526">
        <v>2.65</v>
      </c>
    </row>
    <row r="50" spans="1:7" ht="16.5" customHeight="1" x14ac:dyDescent="0.3">
      <c r="A50" s="524">
        <v>6</v>
      </c>
      <c r="B50" s="528">
        <v>119795685</v>
      </c>
      <c r="C50" s="528">
        <v>7085.51</v>
      </c>
      <c r="D50" s="529">
        <v>1.17</v>
      </c>
      <c r="E50" s="529">
        <v>2.65</v>
      </c>
    </row>
    <row r="51" spans="1:7" ht="16.5" customHeight="1" x14ac:dyDescent="0.3">
      <c r="A51" s="530" t="s">
        <v>18</v>
      </c>
      <c r="B51" s="531">
        <f>AVERAGE(B45:B50)</f>
        <v>119831901.83333333</v>
      </c>
      <c r="C51" s="532">
        <f>AVERAGE(C45:C50)</f>
        <v>7086.8450000000003</v>
      </c>
      <c r="D51" s="533">
        <f>AVERAGE(D45:D50)</f>
        <v>1.1516666666666666</v>
      </c>
      <c r="E51" s="533">
        <f>AVERAGE(E45:E50)</f>
        <v>2.65</v>
      </c>
    </row>
    <row r="52" spans="1:7" ht="16.5" customHeight="1" x14ac:dyDescent="0.3">
      <c r="A52" s="534" t="s">
        <v>19</v>
      </c>
      <c r="B52" s="535">
        <f>(STDEV(B45:B50)/B51)</f>
        <v>3.1228632903939051E-3</v>
      </c>
      <c r="C52" s="536"/>
      <c r="D52" s="536"/>
      <c r="E52" s="537"/>
    </row>
    <row r="53" spans="1:7" s="509" customFormat="1" ht="16.5" customHeight="1" x14ac:dyDescent="0.3">
      <c r="A53" s="538" t="s">
        <v>20</v>
      </c>
      <c r="B53" s="539">
        <f>COUNT(B45:B50)</f>
        <v>6</v>
      </c>
      <c r="C53" s="540"/>
      <c r="D53" s="541"/>
      <c r="E53" s="542"/>
    </row>
    <row r="54" spans="1:7" s="509" customFormat="1" ht="15.75" customHeight="1" x14ac:dyDescent="0.25">
      <c r="A54" s="516"/>
      <c r="B54" s="516"/>
      <c r="C54" s="516"/>
      <c r="D54" s="516"/>
      <c r="E54" s="516"/>
    </row>
    <row r="55" spans="1:7" s="509" customFormat="1" ht="16.5" customHeight="1" x14ac:dyDescent="0.3">
      <c r="A55" s="517" t="s">
        <v>21</v>
      </c>
      <c r="B55" s="543" t="s">
        <v>116</v>
      </c>
      <c r="C55" s="544"/>
      <c r="D55" s="544"/>
      <c r="E55" s="544"/>
    </row>
    <row r="56" spans="1:7" ht="16.5" customHeight="1" x14ac:dyDescent="0.3">
      <c r="A56" s="517"/>
      <c r="B56" s="543" t="s">
        <v>117</v>
      </c>
      <c r="C56" s="544"/>
      <c r="D56" s="544"/>
      <c r="E56" s="544"/>
    </row>
    <row r="57" spans="1:7" ht="16.5" customHeight="1" x14ac:dyDescent="0.3">
      <c r="A57" s="517"/>
      <c r="B57" s="543" t="s">
        <v>118</v>
      </c>
      <c r="C57" s="544"/>
      <c r="D57" s="544"/>
      <c r="E57" s="544"/>
    </row>
    <row r="58" spans="1:7" ht="14.25" customHeight="1" thickBot="1" x14ac:dyDescent="0.3">
      <c r="A58" s="546"/>
      <c r="B58" s="547"/>
      <c r="D58" s="548"/>
      <c r="F58" s="549"/>
      <c r="G58" s="549"/>
    </row>
    <row r="59" spans="1:7" ht="15" customHeight="1" x14ac:dyDescent="0.3">
      <c r="B59" s="550" t="s">
        <v>23</v>
      </c>
      <c r="C59" s="550"/>
      <c r="E59" s="551" t="s">
        <v>24</v>
      </c>
      <c r="F59" s="552"/>
      <c r="G59" s="551" t="s">
        <v>25</v>
      </c>
    </row>
    <row r="60" spans="1:7" ht="15" customHeight="1" x14ac:dyDescent="0.3">
      <c r="A60" s="553" t="s">
        <v>26</v>
      </c>
      <c r="B60" s="554"/>
      <c r="C60" s="554"/>
      <c r="E60" s="554"/>
      <c r="G60" s="554"/>
    </row>
    <row r="61" spans="1:7" ht="15" customHeight="1" x14ac:dyDescent="0.3">
      <c r="A61" s="553" t="s">
        <v>27</v>
      </c>
      <c r="B61" s="555"/>
      <c r="C61" s="555"/>
      <c r="E61" s="555"/>
      <c r="G61" s="5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F46" sqref="F46"/>
    </sheetView>
  </sheetViews>
  <sheetFormatPr defaultRowHeight="15" x14ac:dyDescent="0.3"/>
  <cols>
    <col min="1" max="1" width="15.5703125" style="413" customWidth="1"/>
    <col min="2" max="2" width="18.42578125" style="413" customWidth="1"/>
    <col min="3" max="3" width="14.28515625" style="413" customWidth="1"/>
    <col min="4" max="4" width="15" style="413" customWidth="1"/>
    <col min="5" max="5" width="9.140625" style="413" customWidth="1"/>
    <col min="6" max="6" width="27.85546875" style="413" customWidth="1"/>
    <col min="7" max="7" width="12.28515625" style="413" customWidth="1"/>
    <col min="8" max="8" width="9.140625" style="413" customWidth="1"/>
    <col min="9" max="16384" width="9.140625" style="414"/>
  </cols>
  <sheetData>
    <row r="10" spans="1:7" ht="13.5" customHeight="1" thickBot="1" x14ac:dyDescent="0.35"/>
    <row r="11" spans="1:7" ht="13.5" customHeight="1" thickBot="1" x14ac:dyDescent="0.35">
      <c r="A11" s="460" t="s">
        <v>30</v>
      </c>
      <c r="B11" s="461"/>
      <c r="C11" s="461"/>
      <c r="D11" s="461"/>
      <c r="E11" s="461"/>
      <c r="F11" s="462"/>
      <c r="G11" s="415"/>
    </row>
    <row r="12" spans="1:7" ht="16.5" customHeight="1" x14ac:dyDescent="0.3">
      <c r="A12" s="463" t="s">
        <v>121</v>
      </c>
      <c r="B12" s="463"/>
      <c r="C12" s="463"/>
      <c r="D12" s="463"/>
      <c r="E12" s="463"/>
      <c r="F12" s="463"/>
      <c r="G12" s="416"/>
    </row>
    <row r="14" spans="1:7" ht="16.5" customHeight="1" x14ac:dyDescent="0.3">
      <c r="A14" s="464" t="s">
        <v>32</v>
      </c>
      <c r="B14" s="464"/>
      <c r="C14" s="417" t="s">
        <v>5</v>
      </c>
    </row>
    <row r="15" spans="1:7" ht="16.5" customHeight="1" x14ac:dyDescent="0.3">
      <c r="A15" s="464" t="s">
        <v>33</v>
      </c>
      <c r="B15" s="464"/>
      <c r="C15" s="417" t="s">
        <v>7</v>
      </c>
    </row>
    <row r="16" spans="1:7" ht="16.5" customHeight="1" x14ac:dyDescent="0.3">
      <c r="A16" s="464" t="s">
        <v>34</v>
      </c>
      <c r="B16" s="464"/>
      <c r="C16" s="417" t="s">
        <v>9</v>
      </c>
    </row>
    <row r="17" spans="1:5" ht="16.5" customHeight="1" x14ac:dyDescent="0.3">
      <c r="A17" s="464" t="s">
        <v>35</v>
      </c>
      <c r="B17" s="464"/>
      <c r="C17" s="417" t="s">
        <v>11</v>
      </c>
    </row>
    <row r="18" spans="1:5" ht="16.5" customHeight="1" x14ac:dyDescent="0.3">
      <c r="A18" s="464" t="s">
        <v>36</v>
      </c>
      <c r="B18" s="464"/>
      <c r="C18" s="418" t="s">
        <v>12</v>
      </c>
    </row>
    <row r="19" spans="1:5" ht="16.5" customHeight="1" x14ac:dyDescent="0.3">
      <c r="A19" s="464" t="s">
        <v>37</v>
      </c>
      <c r="B19" s="464"/>
      <c r="C19" s="418" t="e">
        <f>#REF!</f>
        <v>#REF!</v>
      </c>
    </row>
    <row r="20" spans="1:5" ht="16.5" customHeight="1" x14ac:dyDescent="0.3">
      <c r="A20" s="419"/>
      <c r="B20" s="419"/>
      <c r="C20" s="420"/>
    </row>
    <row r="21" spans="1:5" ht="16.5" customHeight="1" x14ac:dyDescent="0.3">
      <c r="A21" s="463" t="s">
        <v>1</v>
      </c>
      <c r="B21" s="463"/>
      <c r="C21" s="421" t="s">
        <v>122</v>
      </c>
      <c r="D21" s="422"/>
    </row>
    <row r="22" spans="1:5" ht="15.75" customHeight="1" thickBot="1" x14ac:dyDescent="0.35">
      <c r="A22" s="465"/>
      <c r="B22" s="465"/>
      <c r="C22" s="423"/>
      <c r="D22" s="465"/>
      <c r="E22" s="465"/>
    </row>
    <row r="23" spans="1:5" ht="33.75" customHeight="1" thickBot="1" x14ac:dyDescent="0.35">
      <c r="C23" s="424" t="s">
        <v>123</v>
      </c>
      <c r="D23" s="425" t="s">
        <v>124</v>
      </c>
      <c r="E23" s="426"/>
    </row>
    <row r="24" spans="1:5" ht="15.75" customHeight="1" x14ac:dyDescent="0.3">
      <c r="C24" s="427">
        <v>872.08</v>
      </c>
      <c r="D24" s="428">
        <f t="shared" ref="D24:D43" si="0">(C24-$C$46)/$C$46</f>
        <v>1.5423715771811244E-3</v>
      </c>
      <c r="E24" s="429"/>
    </row>
    <row r="25" spans="1:5" ht="15.75" customHeight="1" x14ac:dyDescent="0.3">
      <c r="C25" s="427">
        <v>873.22</v>
      </c>
      <c r="D25" s="430">
        <f t="shared" si="0"/>
        <v>2.8516073165605078E-3</v>
      </c>
      <c r="E25" s="429"/>
    </row>
    <row r="26" spans="1:5" ht="15.75" customHeight="1" x14ac:dyDescent="0.3">
      <c r="C26" s="427">
        <v>877.18</v>
      </c>
      <c r="D26" s="430">
        <f t="shared" si="0"/>
        <v>7.3994788322993849E-3</v>
      </c>
      <c r="E26" s="429"/>
    </row>
    <row r="27" spans="1:5" ht="15.75" customHeight="1" x14ac:dyDescent="0.3">
      <c r="C27" s="427">
        <v>861.29</v>
      </c>
      <c r="D27" s="430">
        <f t="shared" si="0"/>
        <v>-1.0849429850804681E-2</v>
      </c>
      <c r="E27" s="429"/>
    </row>
    <row r="28" spans="1:5" ht="15.75" customHeight="1" x14ac:dyDescent="0.3">
      <c r="C28" s="427">
        <v>871.95</v>
      </c>
      <c r="D28" s="430">
        <f t="shared" si="0"/>
        <v>1.3930727647957597E-3</v>
      </c>
      <c r="E28" s="429"/>
    </row>
    <row r="29" spans="1:5" ht="15.75" customHeight="1" x14ac:dyDescent="0.3">
      <c r="C29" s="427">
        <v>865.01</v>
      </c>
      <c r="D29" s="430">
        <f t="shared" si="0"/>
        <v>-6.5771869117771369E-3</v>
      </c>
      <c r="E29" s="429"/>
    </row>
    <row r="30" spans="1:5" ht="15.75" customHeight="1" x14ac:dyDescent="0.3">
      <c r="C30" s="427">
        <v>872.98</v>
      </c>
      <c r="D30" s="430">
        <f t="shared" si="0"/>
        <v>2.5759787398490449E-3</v>
      </c>
      <c r="E30" s="429"/>
    </row>
    <row r="31" spans="1:5" ht="15.75" customHeight="1" x14ac:dyDescent="0.3">
      <c r="C31" s="427">
        <v>874.15</v>
      </c>
      <c r="D31" s="430">
        <f t="shared" si="0"/>
        <v>3.9196680513173291E-3</v>
      </c>
      <c r="E31" s="429"/>
    </row>
    <row r="32" spans="1:5" ht="15.75" customHeight="1" x14ac:dyDescent="0.3">
      <c r="C32" s="427">
        <v>872.11</v>
      </c>
      <c r="D32" s="430">
        <f t="shared" si="0"/>
        <v>1.5768251492700247E-3</v>
      </c>
      <c r="E32" s="429"/>
    </row>
    <row r="33" spans="1:7" ht="15.75" customHeight="1" x14ac:dyDescent="0.3">
      <c r="C33" s="427">
        <v>868.01</v>
      </c>
      <c r="D33" s="430">
        <f t="shared" si="0"/>
        <v>-3.1318297028839811E-3</v>
      </c>
      <c r="E33" s="429"/>
    </row>
    <row r="34" spans="1:7" ht="15.75" customHeight="1" x14ac:dyDescent="0.3">
      <c r="C34" s="427">
        <v>870.6</v>
      </c>
      <c r="D34" s="430">
        <f t="shared" si="0"/>
        <v>-1.5733797920618658E-4</v>
      </c>
      <c r="E34" s="429"/>
    </row>
    <row r="35" spans="1:7" ht="15.75" customHeight="1" x14ac:dyDescent="0.3">
      <c r="C35" s="427">
        <v>866.98</v>
      </c>
      <c r="D35" s="430">
        <f t="shared" si="0"/>
        <v>-4.3147356779372663E-3</v>
      </c>
      <c r="E35" s="429"/>
    </row>
    <row r="36" spans="1:7" ht="15.75" customHeight="1" x14ac:dyDescent="0.3">
      <c r="C36" s="427">
        <v>866.02</v>
      </c>
      <c r="D36" s="430">
        <f t="shared" si="0"/>
        <v>-5.4172499847831177E-3</v>
      </c>
      <c r="E36" s="429"/>
    </row>
    <row r="37" spans="1:7" ht="15.75" customHeight="1" x14ac:dyDescent="0.3">
      <c r="C37" s="427">
        <v>869.8</v>
      </c>
      <c r="D37" s="430">
        <f t="shared" si="0"/>
        <v>-1.076099901577773E-3</v>
      </c>
      <c r="E37" s="429"/>
    </row>
    <row r="38" spans="1:7" ht="15.75" customHeight="1" x14ac:dyDescent="0.3">
      <c r="C38" s="427">
        <v>869.49</v>
      </c>
      <c r="D38" s="430">
        <f t="shared" si="0"/>
        <v>-1.4321201464966699E-3</v>
      </c>
      <c r="E38" s="429"/>
    </row>
    <row r="39" spans="1:7" ht="15.75" customHeight="1" x14ac:dyDescent="0.3">
      <c r="C39" s="427">
        <v>876.01</v>
      </c>
      <c r="D39" s="430">
        <f t="shared" si="0"/>
        <v>6.0557895208311011E-3</v>
      </c>
      <c r="E39" s="429"/>
    </row>
    <row r="40" spans="1:7" ht="15.75" customHeight="1" x14ac:dyDescent="0.3">
      <c r="C40" s="427">
        <v>871.37</v>
      </c>
      <c r="D40" s="430">
        <f t="shared" si="0"/>
        <v>7.2697037107636914E-4</v>
      </c>
      <c r="E40" s="429"/>
    </row>
    <row r="41" spans="1:7" ht="15.75" customHeight="1" x14ac:dyDescent="0.3">
      <c r="C41" s="427">
        <v>870.66</v>
      </c>
      <c r="D41" s="430">
        <f t="shared" si="0"/>
        <v>-8.8430835028386137E-5</v>
      </c>
      <c r="E41" s="429"/>
    </row>
    <row r="42" spans="1:7" ht="15.75" customHeight="1" x14ac:dyDescent="0.3">
      <c r="C42" s="427">
        <v>874.74</v>
      </c>
      <c r="D42" s="430">
        <f t="shared" si="0"/>
        <v>4.5972549690663526E-3</v>
      </c>
      <c r="E42" s="429"/>
    </row>
    <row r="43" spans="1:7" ht="16.5" customHeight="1" thickBot="1" x14ac:dyDescent="0.35">
      <c r="C43" s="431">
        <v>871.09</v>
      </c>
      <c r="D43" s="432">
        <f t="shared" si="0"/>
        <v>4.0540369824637265E-4</v>
      </c>
      <c r="E43" s="429"/>
    </row>
    <row r="44" spans="1:7" ht="16.5" customHeight="1" thickBot="1" x14ac:dyDescent="0.35">
      <c r="C44" s="433"/>
      <c r="D44" s="429"/>
      <c r="E44" s="434"/>
    </row>
    <row r="45" spans="1:7" ht="16.5" customHeight="1" thickBot="1" x14ac:dyDescent="0.35">
      <c r="B45" s="435" t="s">
        <v>125</v>
      </c>
      <c r="C45" s="436">
        <f>SUM(C24:C44)</f>
        <v>17414.740000000002</v>
      </c>
      <c r="D45" s="437"/>
      <c r="E45" s="433"/>
    </row>
    <row r="46" spans="1:7" ht="17.25" customHeight="1" thickBot="1" x14ac:dyDescent="0.35">
      <c r="B46" s="435" t="s">
        <v>126</v>
      </c>
      <c r="C46" s="438">
        <f>AVERAGE(C24:C44)</f>
        <v>870.73700000000008</v>
      </c>
      <c r="E46" s="439"/>
    </row>
    <row r="47" spans="1:7" ht="17.25" customHeight="1" thickBot="1" x14ac:dyDescent="0.35">
      <c r="A47" s="417"/>
      <c r="B47" s="440"/>
      <c r="D47" s="441"/>
      <c r="E47" s="439"/>
    </row>
    <row r="48" spans="1:7" ht="33.75" customHeight="1" thickBot="1" x14ac:dyDescent="0.35">
      <c r="B48" s="442" t="s">
        <v>126</v>
      </c>
      <c r="C48" s="425" t="s">
        <v>127</v>
      </c>
      <c r="D48" s="443"/>
      <c r="G48" s="441"/>
    </row>
    <row r="49" spans="1:6" ht="17.25" customHeight="1" thickBot="1" x14ac:dyDescent="0.35">
      <c r="B49" s="458">
        <f>C46</f>
        <v>870.73700000000008</v>
      </c>
      <c r="C49" s="444">
        <f>-IF(C46&lt;=80,10%,IF(C46&lt;250,7.5%,5%))</f>
        <v>-0.05</v>
      </c>
      <c r="D49" s="445">
        <f>IF(C46&lt;=80,C46*0.9,IF(C46&lt;250,C46*0.925,C46*0.95))</f>
        <v>827.20015000000001</v>
      </c>
    </row>
    <row r="50" spans="1:6" ht="17.25" customHeight="1" thickBot="1" x14ac:dyDescent="0.35">
      <c r="B50" s="459"/>
      <c r="C50" s="446">
        <f>IF(C46&lt;=80, 10%, IF(C46&lt;250, 7.5%, 5%))</f>
        <v>0.05</v>
      </c>
      <c r="D50" s="445">
        <f>IF(C46&lt;=80, C46*1.1, IF(C46&lt;250, C46*1.075, C46*1.05))</f>
        <v>914.27385000000015</v>
      </c>
    </row>
    <row r="51" spans="1:6" ht="16.5" customHeight="1" thickBot="1" x14ac:dyDescent="0.35">
      <c r="A51" s="447"/>
      <c r="B51" s="448"/>
      <c r="C51" s="417"/>
      <c r="D51" s="449"/>
      <c r="E51" s="417"/>
      <c r="F51" s="422"/>
    </row>
    <row r="52" spans="1:6" ht="16.5" customHeight="1" x14ac:dyDescent="0.3">
      <c r="A52" s="417"/>
      <c r="B52" s="450" t="s">
        <v>23</v>
      </c>
      <c r="C52" s="450"/>
      <c r="D52" s="451" t="s">
        <v>24</v>
      </c>
      <c r="E52" s="452"/>
      <c r="F52" s="451" t="s">
        <v>25</v>
      </c>
    </row>
    <row r="53" spans="1:6" ht="34.5" customHeight="1" x14ac:dyDescent="0.3">
      <c r="A53" s="419" t="s">
        <v>26</v>
      </c>
      <c r="B53" s="453"/>
      <c r="C53" s="417"/>
      <c r="D53" s="453"/>
      <c r="E53" s="417"/>
      <c r="F53" s="453"/>
    </row>
    <row r="54" spans="1:6" ht="34.5" customHeight="1" x14ac:dyDescent="0.3">
      <c r="A54" s="419" t="s">
        <v>27</v>
      </c>
      <c r="B54" s="454"/>
      <c r="C54" s="455"/>
      <c r="D54" s="454"/>
      <c r="E54" s="417"/>
      <c r="F54" s="45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5" workbookViewId="0">
      <selection sqref="A1:I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28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29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3"/>
    </row>
    <row r="16" spans="1:9" ht="19.5" customHeight="1" x14ac:dyDescent="0.3">
      <c r="A16" s="469" t="s">
        <v>30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31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5" t="s">
        <v>32</v>
      </c>
      <c r="B18" s="468" t="s">
        <v>5</v>
      </c>
      <c r="C18" s="468"/>
      <c r="D18" s="172"/>
      <c r="E18" s="6"/>
      <c r="F18" s="7"/>
      <c r="G18" s="7"/>
      <c r="H18" s="7"/>
    </row>
    <row r="19" spans="1:14" ht="26.25" customHeight="1" x14ac:dyDescent="0.4">
      <c r="A19" s="5" t="s">
        <v>33</v>
      </c>
      <c r="B19" s="8" t="s">
        <v>7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34</v>
      </c>
      <c r="B20" s="473" t="s">
        <v>9</v>
      </c>
      <c r="C20" s="473"/>
      <c r="D20" s="7"/>
      <c r="E20" s="7"/>
      <c r="F20" s="7"/>
      <c r="G20" s="7"/>
      <c r="H20" s="7"/>
    </row>
    <row r="21" spans="1:14" ht="26.25" customHeight="1" x14ac:dyDescent="0.4">
      <c r="A21" s="5" t="s">
        <v>35</v>
      </c>
      <c r="B21" s="473" t="s">
        <v>11</v>
      </c>
      <c r="C21" s="473"/>
      <c r="D21" s="473"/>
      <c r="E21" s="473"/>
      <c r="F21" s="473"/>
      <c r="G21" s="473"/>
      <c r="H21" s="473"/>
      <c r="I21" s="9"/>
    </row>
    <row r="22" spans="1:14" ht="26.25" customHeight="1" x14ac:dyDescent="0.4">
      <c r="A22" s="5" t="s">
        <v>36</v>
      </c>
      <c r="B22" s="10" t="s">
        <v>12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37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468" t="s">
        <v>119</v>
      </c>
      <c r="C26" s="468"/>
    </row>
    <row r="27" spans="1:14" ht="26.25" customHeight="1" x14ac:dyDescent="0.4">
      <c r="A27" s="14" t="s">
        <v>38</v>
      </c>
      <c r="B27" s="474" t="s">
        <v>120</v>
      </c>
      <c r="C27" s="474"/>
    </row>
    <row r="28" spans="1:14" ht="27" customHeight="1" x14ac:dyDescent="0.4">
      <c r="A28" s="14" t="s">
        <v>6</v>
      </c>
      <c r="B28" s="15">
        <v>101.74</v>
      </c>
    </row>
    <row r="29" spans="1:14" s="2" customFormat="1" ht="27" customHeight="1" x14ac:dyDescent="0.4">
      <c r="A29" s="14" t="s">
        <v>39</v>
      </c>
      <c r="B29" s="16">
        <v>0</v>
      </c>
      <c r="C29" s="475" t="s">
        <v>40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41</v>
      </c>
      <c r="B30" s="18">
        <f>B28-B29</f>
        <v>101.74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42</v>
      </c>
      <c r="B31" s="21">
        <v>1</v>
      </c>
      <c r="C31" s="478" t="s">
        <v>43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44</v>
      </c>
      <c r="B32" s="21">
        <v>1</v>
      </c>
      <c r="C32" s="478" t="s">
        <v>45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46</v>
      </c>
      <c r="B34" s="26">
        <f>B31/B32</f>
        <v>1</v>
      </c>
      <c r="C34" s="4" t="s">
        <v>47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48</v>
      </c>
      <c r="B36" s="28">
        <v>20</v>
      </c>
      <c r="C36" s="4"/>
      <c r="D36" s="481" t="s">
        <v>49</v>
      </c>
      <c r="E36" s="482"/>
      <c r="F36" s="481" t="s">
        <v>50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51</v>
      </c>
      <c r="B37" s="30">
        <v>3</v>
      </c>
      <c r="C37" s="31" t="s">
        <v>52</v>
      </c>
      <c r="D37" s="32" t="s">
        <v>53</v>
      </c>
      <c r="E37" s="33" t="s">
        <v>54</v>
      </c>
      <c r="F37" s="32" t="s">
        <v>53</v>
      </c>
      <c r="G37" s="34" t="s">
        <v>54</v>
      </c>
      <c r="I37" s="35" t="s">
        <v>55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56</v>
      </c>
      <c r="B38" s="30">
        <v>25</v>
      </c>
      <c r="C38" s="36">
        <v>1</v>
      </c>
      <c r="D38" s="37">
        <v>39016450</v>
      </c>
      <c r="E38" s="38">
        <f>IF(ISBLANK(D38),"-",$D$48/$D$45*D38)</f>
        <v>34015588.403433621</v>
      </c>
      <c r="F38" s="37">
        <v>35787704</v>
      </c>
      <c r="G38" s="39">
        <f>IF(ISBLANK(F38),"-",$D$48/$F$45*F38)</f>
        <v>34224214.564610422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57</v>
      </c>
      <c r="B39" s="30">
        <v>1</v>
      </c>
      <c r="C39" s="41">
        <v>2</v>
      </c>
      <c r="D39" s="42">
        <v>39102559</v>
      </c>
      <c r="E39" s="43">
        <f>IF(ISBLANK(D39),"-",$D$48/$D$45*D39)</f>
        <v>34090660.541002035</v>
      </c>
      <c r="F39" s="42">
        <v>36088794</v>
      </c>
      <c r="G39" s="44">
        <f>IF(ISBLANK(F39),"-",$D$48/$F$45*F39)</f>
        <v>34512150.576466858</v>
      </c>
      <c r="I39" s="485">
        <f>ABS((F43/D43*D42)-F42)/D42</f>
        <v>9.744355367597721E-3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58</v>
      </c>
      <c r="B40" s="30">
        <v>1</v>
      </c>
      <c r="C40" s="41">
        <v>3</v>
      </c>
      <c r="D40" s="42">
        <v>39084825</v>
      </c>
      <c r="E40" s="43">
        <f>IF(ISBLANK(D40),"-",$D$48/$D$45*D40)</f>
        <v>34075199.563779697</v>
      </c>
      <c r="F40" s="42">
        <v>36115055</v>
      </c>
      <c r="G40" s="44">
        <f>IF(ISBLANK(F40),"-",$D$48/$F$45*F40)</f>
        <v>34537264.288670391</v>
      </c>
      <c r="I40" s="485"/>
      <c r="L40" s="22"/>
      <c r="M40" s="22"/>
      <c r="N40" s="45"/>
    </row>
    <row r="41" spans="1:14" ht="27" customHeight="1" x14ac:dyDescent="0.4">
      <c r="A41" s="29" t="s">
        <v>59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60</v>
      </c>
      <c r="B42" s="30">
        <v>1</v>
      </c>
      <c r="C42" s="51" t="s">
        <v>61</v>
      </c>
      <c r="D42" s="52">
        <f>AVERAGE(D38:D41)</f>
        <v>39067944.666666664</v>
      </c>
      <c r="E42" s="53">
        <f>AVERAGE(E38:E41)</f>
        <v>34060482.836071782</v>
      </c>
      <c r="F42" s="52">
        <f>AVERAGE(F38:F41)</f>
        <v>35997184.333333336</v>
      </c>
      <c r="G42" s="54">
        <f>AVERAGE(G38:G41)</f>
        <v>34424543.143249221</v>
      </c>
      <c r="H42" s="55"/>
    </row>
    <row r="43" spans="1:14" ht="26.25" customHeight="1" x14ac:dyDescent="0.4">
      <c r="A43" s="29" t="s">
        <v>62</v>
      </c>
      <c r="B43" s="30">
        <v>1</v>
      </c>
      <c r="C43" s="56" t="s">
        <v>63</v>
      </c>
      <c r="D43" s="57">
        <v>18.79</v>
      </c>
      <c r="E43" s="45"/>
      <c r="F43" s="57">
        <v>17.13</v>
      </c>
      <c r="H43" s="55"/>
    </row>
    <row r="44" spans="1:14" ht="26.25" customHeight="1" x14ac:dyDescent="0.4">
      <c r="A44" s="29" t="s">
        <v>64</v>
      </c>
      <c r="B44" s="30">
        <v>1</v>
      </c>
      <c r="C44" s="58" t="s">
        <v>65</v>
      </c>
      <c r="D44" s="59">
        <f>D43*$B$34</f>
        <v>18.79</v>
      </c>
      <c r="E44" s="60"/>
      <c r="F44" s="59">
        <f>F43*$B$34</f>
        <v>17.13</v>
      </c>
      <c r="H44" s="55"/>
    </row>
    <row r="45" spans="1:14" ht="19.5" customHeight="1" x14ac:dyDescent="0.3">
      <c r="A45" s="29" t="s">
        <v>66</v>
      </c>
      <c r="B45" s="61">
        <f>(B44/B43)*(B42/B41)*(B40/B39)*(B38/B37)*B36</f>
        <v>166.66666666666669</v>
      </c>
      <c r="C45" s="58" t="s">
        <v>67</v>
      </c>
      <c r="D45" s="62">
        <f>D44*$B$30/100</f>
        <v>19.116945999999999</v>
      </c>
      <c r="E45" s="63"/>
      <c r="F45" s="62">
        <f>F44*$B$30/100</f>
        <v>17.428061999999997</v>
      </c>
      <c r="H45" s="55"/>
    </row>
    <row r="46" spans="1:14" ht="19.5" customHeight="1" x14ac:dyDescent="0.3">
      <c r="A46" s="486" t="s">
        <v>68</v>
      </c>
      <c r="B46" s="487"/>
      <c r="C46" s="58" t="s">
        <v>69</v>
      </c>
      <c r="D46" s="64">
        <f>D45/$B$45</f>
        <v>0.11470167599999997</v>
      </c>
      <c r="E46" s="65"/>
      <c r="F46" s="66">
        <f>F45/$B$45</f>
        <v>0.10456837199999997</v>
      </c>
      <c r="H46" s="55"/>
    </row>
    <row r="47" spans="1:14" ht="27" customHeight="1" x14ac:dyDescent="0.4">
      <c r="A47" s="488"/>
      <c r="B47" s="489"/>
      <c r="C47" s="67" t="s">
        <v>70</v>
      </c>
      <c r="D47" s="68">
        <v>0.1</v>
      </c>
      <c r="E47" s="69"/>
      <c r="F47" s="65"/>
      <c r="H47" s="55"/>
    </row>
    <row r="48" spans="1:14" ht="18.75" x14ac:dyDescent="0.3">
      <c r="C48" s="70" t="s">
        <v>71</v>
      </c>
      <c r="D48" s="62">
        <f>D47*$B$45</f>
        <v>16.666666666666668</v>
      </c>
      <c r="F48" s="71"/>
      <c r="H48" s="55"/>
    </row>
    <row r="49" spans="1:12" ht="19.5" customHeight="1" x14ac:dyDescent="0.3">
      <c r="C49" s="72" t="s">
        <v>72</v>
      </c>
      <c r="D49" s="73">
        <f>D48/B34</f>
        <v>16.666666666666668</v>
      </c>
      <c r="F49" s="71"/>
      <c r="H49" s="55"/>
    </row>
    <row r="50" spans="1:12" ht="18.75" x14ac:dyDescent="0.3">
      <c r="C50" s="27" t="s">
        <v>73</v>
      </c>
      <c r="D50" s="74">
        <f>AVERAGE(E38:E41,G38:G41)</f>
        <v>34242512.989660509</v>
      </c>
      <c r="F50" s="75"/>
      <c r="H50" s="55"/>
    </row>
    <row r="51" spans="1:12" ht="18.75" x14ac:dyDescent="0.3">
      <c r="C51" s="29" t="s">
        <v>74</v>
      </c>
      <c r="D51" s="76">
        <f>STDEV(E38:E41,G38:G41)/D50</f>
        <v>6.690912034363678E-3</v>
      </c>
      <c r="F51" s="75"/>
      <c r="H51" s="55"/>
    </row>
    <row r="52" spans="1:12" ht="19.5" customHeight="1" x14ac:dyDescent="0.3">
      <c r="C52" s="77" t="s">
        <v>20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75</v>
      </c>
    </row>
    <row r="55" spans="1:12" ht="18.75" x14ac:dyDescent="0.3">
      <c r="A55" s="4" t="s">
        <v>76</v>
      </c>
      <c r="B55" s="81" t="str">
        <f>B21</f>
        <v>Each tablet contains lamivudine 300mg, Tenofovir Disproxil fumarate 300mg</v>
      </c>
    </row>
    <row r="56" spans="1:12" ht="26.25" customHeight="1" x14ac:dyDescent="0.4">
      <c r="A56" s="82" t="s">
        <v>77</v>
      </c>
      <c r="B56" s="83">
        <v>300</v>
      </c>
      <c r="C56" s="4" t="str">
        <f>B20</f>
        <v>Lamivudine and Tenofovir Disoproxil Fumarate</v>
      </c>
      <c r="H56" s="84"/>
    </row>
    <row r="57" spans="1:12" ht="18.75" x14ac:dyDescent="0.3">
      <c r="A57" s="81" t="s">
        <v>78</v>
      </c>
      <c r="B57" s="173">
        <f>Uniformity!C46</f>
        <v>870.73700000000008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79</v>
      </c>
      <c r="B59" s="28">
        <v>50</v>
      </c>
      <c r="C59" s="4"/>
      <c r="D59" s="85" t="s">
        <v>80</v>
      </c>
      <c r="E59" s="86" t="s">
        <v>52</v>
      </c>
      <c r="F59" s="86" t="s">
        <v>53</v>
      </c>
      <c r="G59" s="86" t="s">
        <v>81</v>
      </c>
      <c r="H59" s="31" t="s">
        <v>82</v>
      </c>
      <c r="L59" s="17"/>
    </row>
    <row r="60" spans="1:12" s="2" customFormat="1" ht="26.25" customHeight="1" x14ac:dyDescent="0.4">
      <c r="A60" s="29" t="s">
        <v>83</v>
      </c>
      <c r="B60" s="30">
        <v>5</v>
      </c>
      <c r="C60" s="490" t="s">
        <v>84</v>
      </c>
      <c r="D60" s="493">
        <v>145.63999999999999</v>
      </c>
      <c r="E60" s="87">
        <v>1</v>
      </c>
      <c r="F60" s="88">
        <v>34186137</v>
      </c>
      <c r="G60" s="174">
        <f>IF(ISBLANK(F60),"-",(F60/$D$50*$D$47*$B$68)*($B$57/$D$60))</f>
        <v>298.44254362642505</v>
      </c>
      <c r="H60" s="89">
        <f t="shared" ref="H60:H71" si="0">IF(ISBLANK(F60),"-",G60/$B$56)</f>
        <v>0.9948084787547502</v>
      </c>
      <c r="L60" s="17"/>
    </row>
    <row r="61" spans="1:12" s="2" customFormat="1" ht="26.25" customHeight="1" x14ac:dyDescent="0.4">
      <c r="A61" s="29" t="s">
        <v>85</v>
      </c>
      <c r="B61" s="30">
        <v>50</v>
      </c>
      <c r="C61" s="491"/>
      <c r="D61" s="494"/>
      <c r="E61" s="90">
        <v>2</v>
      </c>
      <c r="F61" s="42">
        <v>34331897</v>
      </c>
      <c r="G61" s="175">
        <f>IF(ISBLANK(F61),"-",(F61/$D$50*$D$47*$B$68)*($B$57/$D$60))</f>
        <v>299.71501805543079</v>
      </c>
      <c r="H61" s="91">
        <f t="shared" si="0"/>
        <v>0.99905006018476927</v>
      </c>
      <c r="L61" s="17"/>
    </row>
    <row r="62" spans="1:12" s="2" customFormat="1" ht="26.25" customHeight="1" x14ac:dyDescent="0.4">
      <c r="A62" s="29" t="s">
        <v>86</v>
      </c>
      <c r="B62" s="30">
        <v>1</v>
      </c>
      <c r="C62" s="491"/>
      <c r="D62" s="494"/>
      <c r="E62" s="90">
        <v>3</v>
      </c>
      <c r="F62" s="92">
        <v>34209193</v>
      </c>
      <c r="G62" s="175">
        <f>IF(ISBLANK(F62),"-",(F62/$D$50*$D$47*$B$68)*($B$57/$D$60))</f>
        <v>298.64382086596368</v>
      </c>
      <c r="H62" s="91">
        <f t="shared" si="0"/>
        <v>0.99547940288654557</v>
      </c>
      <c r="L62" s="17"/>
    </row>
    <row r="63" spans="1:12" ht="27" customHeight="1" x14ac:dyDescent="0.4">
      <c r="A63" s="29" t="s">
        <v>87</v>
      </c>
      <c r="B63" s="30">
        <v>1</v>
      </c>
      <c r="C63" s="492"/>
      <c r="D63" s="49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88</v>
      </c>
      <c r="B64" s="30">
        <v>1</v>
      </c>
      <c r="C64" s="490" t="s">
        <v>89</v>
      </c>
      <c r="D64" s="493">
        <v>145.22</v>
      </c>
      <c r="E64" s="87">
        <v>1</v>
      </c>
      <c r="F64" s="88">
        <v>34251902</v>
      </c>
      <c r="G64" s="176">
        <f>IF(ISBLANK(F64),"-",(F64/$D$50*$D$47*$B$68)*($B$57/$D$64))</f>
        <v>299.88147252254248</v>
      </c>
      <c r="H64" s="95">
        <f t="shared" si="0"/>
        <v>0.99960490840847493</v>
      </c>
    </row>
    <row r="65" spans="1:8" ht="26.25" customHeight="1" x14ac:dyDescent="0.4">
      <c r="A65" s="29" t="s">
        <v>90</v>
      </c>
      <c r="B65" s="30">
        <v>1</v>
      </c>
      <c r="C65" s="491"/>
      <c r="D65" s="494"/>
      <c r="E65" s="90">
        <v>2</v>
      </c>
      <c r="F65" s="42">
        <v>34303201</v>
      </c>
      <c r="G65" s="177">
        <f>IF(ISBLANK(F65),"-",(F65/$D$50*$D$47*$B$68)*($B$57/$D$64))</f>
        <v>300.33060435933601</v>
      </c>
      <c r="H65" s="96">
        <f t="shared" si="0"/>
        <v>1.00110201453112</v>
      </c>
    </row>
    <row r="66" spans="1:8" ht="26.25" customHeight="1" x14ac:dyDescent="0.4">
      <c r="A66" s="29" t="s">
        <v>91</v>
      </c>
      <c r="B66" s="30">
        <v>1</v>
      </c>
      <c r="C66" s="491"/>
      <c r="D66" s="494"/>
      <c r="E66" s="90">
        <v>3</v>
      </c>
      <c r="F66" s="42">
        <v>34300755</v>
      </c>
      <c r="G66" s="177">
        <f>IF(ISBLANK(F66),"-",(F66/$D$50*$D$47*$B$68)*($B$57/$D$64))</f>
        <v>300.30918919582808</v>
      </c>
      <c r="H66" s="96">
        <f t="shared" si="0"/>
        <v>1.0010306306527603</v>
      </c>
    </row>
    <row r="67" spans="1:8" ht="27" customHeight="1" x14ac:dyDescent="0.4">
      <c r="A67" s="29" t="s">
        <v>92</v>
      </c>
      <c r="B67" s="30">
        <v>1</v>
      </c>
      <c r="C67" s="492"/>
      <c r="D67" s="49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93</v>
      </c>
      <c r="B68" s="98">
        <f>(B67/B66)*(B65/B64)*(B63/B62)*(B61/B60)*B59</f>
        <v>500</v>
      </c>
      <c r="C68" s="490" t="s">
        <v>94</v>
      </c>
      <c r="D68" s="493">
        <v>146.82</v>
      </c>
      <c r="E68" s="87">
        <v>1</v>
      </c>
      <c r="F68" s="88">
        <v>34617448</v>
      </c>
      <c r="G68" s="176">
        <f>IF(ISBLANK(F68),"-",(F68/$D$50*$D$47*$B$68)*($B$57/$D$68))</f>
        <v>299.77899764664511</v>
      </c>
      <c r="H68" s="91">
        <f t="shared" si="0"/>
        <v>0.99926332548881702</v>
      </c>
    </row>
    <row r="69" spans="1:8" ht="27" customHeight="1" x14ac:dyDescent="0.4">
      <c r="A69" s="77" t="s">
        <v>95</v>
      </c>
      <c r="B69" s="99">
        <f>(D47*B68)/B56*B57</f>
        <v>145.12283333333335</v>
      </c>
      <c r="C69" s="491"/>
      <c r="D69" s="494"/>
      <c r="E69" s="90">
        <v>2</v>
      </c>
      <c r="F69" s="42">
        <v>34312943</v>
      </c>
      <c r="G69" s="177">
        <f>IF(ISBLANK(F69),"-",(F69/$D$50*$D$47*$B$68)*($B$57/$D$68))</f>
        <v>297.14205561445397</v>
      </c>
      <c r="H69" s="91">
        <f t="shared" si="0"/>
        <v>0.99047351871484657</v>
      </c>
    </row>
    <row r="70" spans="1:8" ht="26.25" customHeight="1" x14ac:dyDescent="0.4">
      <c r="A70" s="503" t="s">
        <v>68</v>
      </c>
      <c r="B70" s="504"/>
      <c r="C70" s="491"/>
      <c r="D70" s="494"/>
      <c r="E70" s="90">
        <v>3</v>
      </c>
      <c r="F70" s="42">
        <v>34052548</v>
      </c>
      <c r="G70" s="177">
        <f>IF(ISBLANK(F70),"-",(F70/$D$50*$D$47*$B$68)*($B$57/$D$68))</f>
        <v>294.88709585854713</v>
      </c>
      <c r="H70" s="91">
        <f t="shared" si="0"/>
        <v>0.98295698619515715</v>
      </c>
    </row>
    <row r="71" spans="1:8" ht="27" customHeight="1" x14ac:dyDescent="0.4">
      <c r="A71" s="505"/>
      <c r="B71" s="506"/>
      <c r="C71" s="502"/>
      <c r="D71" s="49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61</v>
      </c>
      <c r="G72" s="183">
        <f>AVERAGE(G60:G71)</f>
        <v>298.79231086057473</v>
      </c>
      <c r="H72" s="104">
        <f>AVERAGE(H60:H71)</f>
        <v>0.99597436953524898</v>
      </c>
    </row>
    <row r="73" spans="1:8" ht="26.25" customHeight="1" x14ac:dyDescent="0.4">
      <c r="C73" s="101"/>
      <c r="D73" s="101"/>
      <c r="E73" s="101"/>
      <c r="F73" s="105" t="s">
        <v>74</v>
      </c>
      <c r="G73" s="179">
        <f>STDEV(G60:G71)/G72</f>
        <v>6.0099305406160399E-3</v>
      </c>
      <c r="H73" s="179">
        <f>STDEV(H60:H71)/H72</f>
        <v>6.0099305406160252E-3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20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96</v>
      </c>
      <c r="B76" s="109" t="s">
        <v>97</v>
      </c>
      <c r="C76" s="498" t="str">
        <f>B20</f>
        <v>Lamivudine and Tenofovir Disoproxil Fumarate</v>
      </c>
      <c r="D76" s="498"/>
      <c r="E76" s="110" t="s">
        <v>98</v>
      </c>
      <c r="F76" s="110"/>
      <c r="G76" s="111">
        <f>H72</f>
        <v>0.99597436953524898</v>
      </c>
      <c r="H76" s="112"/>
    </row>
    <row r="77" spans="1:8" ht="18.75" x14ac:dyDescent="0.3">
      <c r="A77" s="12" t="s">
        <v>99</v>
      </c>
      <c r="B77" s="12" t="s">
        <v>100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484" t="str">
        <f>B26</f>
        <v>Lamivudine</v>
      </c>
      <c r="C79" s="484"/>
    </row>
    <row r="80" spans="1:8" ht="26.25" customHeight="1" x14ac:dyDescent="0.4">
      <c r="A80" s="14" t="s">
        <v>38</v>
      </c>
      <c r="B80" s="484" t="str">
        <f>B27</f>
        <v>L3-9</v>
      </c>
      <c r="C80" s="484"/>
    </row>
    <row r="81" spans="1:12" ht="27" customHeight="1" x14ac:dyDescent="0.4">
      <c r="A81" s="14" t="s">
        <v>6</v>
      </c>
      <c r="B81" s="113">
        <f>B28</f>
        <v>101.74</v>
      </c>
    </row>
    <row r="82" spans="1:12" s="2" customFormat="1" ht="27" customHeight="1" x14ac:dyDescent="0.4">
      <c r="A82" s="14" t="s">
        <v>39</v>
      </c>
      <c r="B82" s="16">
        <v>0</v>
      </c>
      <c r="C82" s="475" t="s">
        <v>40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41</v>
      </c>
      <c r="B83" s="18">
        <f>B81-B82</f>
        <v>101.74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42</v>
      </c>
      <c r="B84" s="21">
        <v>1</v>
      </c>
      <c r="C84" s="478" t="s">
        <v>101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44</v>
      </c>
      <c r="B85" s="21">
        <v>1</v>
      </c>
      <c r="C85" s="478" t="s">
        <v>102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46</v>
      </c>
      <c r="B87" s="26">
        <f>B84/B85</f>
        <v>1</v>
      </c>
      <c r="C87" s="4" t="s">
        <v>47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48</v>
      </c>
      <c r="B89" s="28">
        <v>20</v>
      </c>
      <c r="D89" s="114" t="s">
        <v>49</v>
      </c>
      <c r="E89" s="115"/>
      <c r="F89" s="481" t="s">
        <v>50</v>
      </c>
      <c r="G89" s="483"/>
    </row>
    <row r="90" spans="1:12" ht="27" customHeight="1" x14ac:dyDescent="0.4">
      <c r="A90" s="29" t="s">
        <v>51</v>
      </c>
      <c r="B90" s="30">
        <v>10</v>
      </c>
      <c r="C90" s="116" t="s">
        <v>52</v>
      </c>
      <c r="D90" s="32" t="s">
        <v>53</v>
      </c>
      <c r="E90" s="33" t="s">
        <v>54</v>
      </c>
      <c r="F90" s="32" t="s">
        <v>53</v>
      </c>
      <c r="G90" s="117" t="s">
        <v>54</v>
      </c>
      <c r="I90" s="35" t="s">
        <v>55</v>
      </c>
    </row>
    <row r="91" spans="1:12" ht="26.25" customHeight="1" x14ac:dyDescent="0.4">
      <c r="A91" s="29" t="s">
        <v>56</v>
      </c>
      <c r="B91" s="30">
        <v>25</v>
      </c>
      <c r="C91" s="118">
        <v>1</v>
      </c>
      <c r="D91" s="37">
        <v>120848533</v>
      </c>
      <c r="E91" s="38">
        <f>IF(ISBLANK(D91),"-",$D$101/$D$98*D91)</f>
        <v>105358994.92872274</v>
      </c>
      <c r="F91" s="37">
        <v>110631199</v>
      </c>
      <c r="G91" s="39">
        <f>IF(ISBLANK(F91),"-",$D$101/$F$98*F91)</f>
        <v>105797954.8538826</v>
      </c>
      <c r="I91" s="40"/>
    </row>
    <row r="92" spans="1:12" ht="26.25" customHeight="1" x14ac:dyDescent="0.4">
      <c r="A92" s="29" t="s">
        <v>57</v>
      </c>
      <c r="B92" s="30">
        <v>1</v>
      </c>
      <c r="C92" s="102">
        <v>2</v>
      </c>
      <c r="D92" s="42">
        <v>120614686</v>
      </c>
      <c r="E92" s="43">
        <f>IF(ISBLANK(D92),"-",$D$101/$D$98*D92)</f>
        <v>105155120.83711837</v>
      </c>
      <c r="F92" s="42">
        <v>110789565</v>
      </c>
      <c r="G92" s="44">
        <f>IF(ISBLANK(F92),"-",$D$101/$F$98*F92)</f>
        <v>105949402.17678823</v>
      </c>
      <c r="I92" s="485">
        <f>ABS((F96/D96*D95)-F95)/D95</f>
        <v>5.9356876370263486E-3</v>
      </c>
    </row>
    <row r="93" spans="1:12" ht="26.25" customHeight="1" x14ac:dyDescent="0.4">
      <c r="A93" s="29" t="s">
        <v>58</v>
      </c>
      <c r="B93" s="30">
        <v>1</v>
      </c>
      <c r="C93" s="102">
        <v>3</v>
      </c>
      <c r="D93" s="42">
        <v>120388121</v>
      </c>
      <c r="E93" s="43">
        <f>IF(ISBLANK(D93),"-",$D$101/$D$98*D93)</f>
        <v>104957595.38858002</v>
      </c>
      <c r="F93" s="42">
        <v>110610705</v>
      </c>
      <c r="G93" s="44">
        <f>IF(ISBLANK(F93),"-",$D$101/$F$98*F93)</f>
        <v>105778356.1935917</v>
      </c>
      <c r="I93" s="485"/>
    </row>
    <row r="94" spans="1:12" ht="27" customHeight="1" x14ac:dyDescent="0.4">
      <c r="A94" s="29" t="s">
        <v>59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60</v>
      </c>
      <c r="B95" s="30">
        <v>1</v>
      </c>
      <c r="C95" s="121" t="s">
        <v>61</v>
      </c>
      <c r="D95" s="122">
        <f>AVERAGE(D91:D94)</f>
        <v>120617113.33333333</v>
      </c>
      <c r="E95" s="53">
        <f>AVERAGE(E91:E94)</f>
        <v>105157237.05147372</v>
      </c>
      <c r="F95" s="123">
        <f>AVERAGE(F91:F94)</f>
        <v>110677156.33333333</v>
      </c>
      <c r="G95" s="124">
        <f>AVERAGE(G91:G94)</f>
        <v>105841904.40808751</v>
      </c>
    </row>
    <row r="96" spans="1:12" ht="26.25" customHeight="1" x14ac:dyDescent="0.4">
      <c r="A96" s="29" t="s">
        <v>62</v>
      </c>
      <c r="B96" s="15">
        <v>1</v>
      </c>
      <c r="C96" s="125" t="s">
        <v>103</v>
      </c>
      <c r="D96" s="126">
        <v>18.79</v>
      </c>
      <c r="E96" s="45"/>
      <c r="F96" s="57">
        <v>17.13</v>
      </c>
    </row>
    <row r="97" spans="1:10" ht="26.25" customHeight="1" x14ac:dyDescent="0.4">
      <c r="A97" s="29" t="s">
        <v>64</v>
      </c>
      <c r="B97" s="15">
        <v>1</v>
      </c>
      <c r="C97" s="127" t="s">
        <v>104</v>
      </c>
      <c r="D97" s="128">
        <f>D96*$B$87</f>
        <v>18.79</v>
      </c>
      <c r="E97" s="60"/>
      <c r="F97" s="59">
        <f>F96*$B$87</f>
        <v>17.13</v>
      </c>
    </row>
    <row r="98" spans="1:10" ht="19.5" customHeight="1" x14ac:dyDescent="0.3">
      <c r="A98" s="29" t="s">
        <v>66</v>
      </c>
      <c r="B98" s="129">
        <f>(B97/B96)*(B95/B94)*(B93/B92)*(B91/B90)*B89</f>
        <v>50</v>
      </c>
      <c r="C98" s="127" t="s">
        <v>105</v>
      </c>
      <c r="D98" s="130">
        <f>D97*$B$83/100</f>
        <v>19.116945999999999</v>
      </c>
      <c r="E98" s="63"/>
      <c r="F98" s="62">
        <f>F97*$B$83/100</f>
        <v>17.428061999999997</v>
      </c>
    </row>
    <row r="99" spans="1:10" ht="19.5" customHeight="1" x14ac:dyDescent="0.3">
      <c r="A99" s="486" t="s">
        <v>68</v>
      </c>
      <c r="B99" s="500"/>
      <c r="C99" s="127" t="s">
        <v>106</v>
      </c>
      <c r="D99" s="131">
        <f>D98/$B$98</f>
        <v>0.38233891999999997</v>
      </c>
      <c r="E99" s="63"/>
      <c r="F99" s="66">
        <f>F98/$B$98</f>
        <v>0.34856123999999994</v>
      </c>
      <c r="G99" s="132"/>
      <c r="H99" s="55"/>
    </row>
    <row r="100" spans="1:10" ht="19.5" customHeight="1" x14ac:dyDescent="0.3">
      <c r="A100" s="488"/>
      <c r="B100" s="501"/>
      <c r="C100" s="127" t="s">
        <v>70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71</v>
      </c>
      <c r="D101" s="128">
        <f>D100*$B$98</f>
        <v>16.666666666666664</v>
      </c>
      <c r="F101" s="71"/>
      <c r="G101" s="132"/>
      <c r="H101" s="55"/>
    </row>
    <row r="102" spans="1:10" ht="19.5" customHeight="1" x14ac:dyDescent="0.3">
      <c r="C102" s="135" t="s">
        <v>72</v>
      </c>
      <c r="D102" s="136">
        <f>D101/B34</f>
        <v>16.666666666666664</v>
      </c>
      <c r="F102" s="75"/>
      <c r="G102" s="132"/>
      <c r="H102" s="55"/>
      <c r="J102" s="137"/>
    </row>
    <row r="103" spans="1:10" ht="18.75" x14ac:dyDescent="0.3">
      <c r="C103" s="138" t="s">
        <v>107</v>
      </c>
      <c r="D103" s="139">
        <f>AVERAGE(E91:E94,G91:G94)</f>
        <v>105499570.72978061</v>
      </c>
      <c r="F103" s="75"/>
      <c r="G103" s="140"/>
      <c r="H103" s="55"/>
      <c r="J103" s="141"/>
    </row>
    <row r="104" spans="1:10" ht="18.75" x14ac:dyDescent="0.3">
      <c r="C104" s="105" t="s">
        <v>74</v>
      </c>
      <c r="D104" s="142">
        <f>STDEV(E91:E94,G91:G94)/D103</f>
        <v>3.7944391836299612E-3</v>
      </c>
      <c r="F104" s="75"/>
      <c r="G104" s="132"/>
      <c r="H104" s="55"/>
      <c r="J104" s="141"/>
    </row>
    <row r="105" spans="1:10" ht="19.5" customHeight="1" x14ac:dyDescent="0.3">
      <c r="C105" s="107" t="s">
        <v>20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108</v>
      </c>
      <c r="B107" s="28">
        <v>900</v>
      </c>
      <c r="C107" s="144" t="s">
        <v>109</v>
      </c>
      <c r="D107" s="145" t="s">
        <v>53</v>
      </c>
      <c r="E107" s="146" t="s">
        <v>110</v>
      </c>
      <c r="F107" s="147" t="s">
        <v>111</v>
      </c>
    </row>
    <row r="108" spans="1:10" ht="26.25" customHeight="1" x14ac:dyDescent="0.4">
      <c r="A108" s="29" t="s">
        <v>112</v>
      </c>
      <c r="B108" s="30">
        <v>1</v>
      </c>
      <c r="C108" s="148">
        <v>1</v>
      </c>
      <c r="D108" s="149">
        <v>106597884</v>
      </c>
      <c r="E108" s="180">
        <f t="shared" ref="E108:E113" si="1">IF(ISBLANK(D108),"-",D108/$D$103*$D$100*$B$116)</f>
        <v>303.12317840524446</v>
      </c>
      <c r="F108" s="150">
        <f t="shared" ref="F108:F113" si="2">IF(ISBLANK(D108), "-", E108/$B$56)</f>
        <v>1.0104105946841482</v>
      </c>
    </row>
    <row r="109" spans="1:10" ht="26.25" customHeight="1" x14ac:dyDescent="0.4">
      <c r="A109" s="29" t="s">
        <v>85</v>
      </c>
      <c r="B109" s="30">
        <v>1</v>
      </c>
      <c r="C109" s="148">
        <v>2</v>
      </c>
      <c r="D109" s="149">
        <v>106617921</v>
      </c>
      <c r="E109" s="181">
        <f t="shared" si="1"/>
        <v>303.18015588826569</v>
      </c>
      <c r="F109" s="151">
        <f t="shared" si="2"/>
        <v>1.0106005196275523</v>
      </c>
    </row>
    <row r="110" spans="1:10" ht="26.25" customHeight="1" x14ac:dyDescent="0.4">
      <c r="A110" s="29" t="s">
        <v>86</v>
      </c>
      <c r="B110" s="30">
        <v>1</v>
      </c>
      <c r="C110" s="148">
        <v>3</v>
      </c>
      <c r="D110" s="149">
        <v>106042891</v>
      </c>
      <c r="E110" s="181">
        <f t="shared" si="1"/>
        <v>301.54499283682679</v>
      </c>
      <c r="F110" s="151">
        <f t="shared" si="2"/>
        <v>1.005149976122756</v>
      </c>
    </row>
    <row r="111" spans="1:10" ht="26.25" customHeight="1" x14ac:dyDescent="0.4">
      <c r="A111" s="29" t="s">
        <v>87</v>
      </c>
      <c r="B111" s="30">
        <v>1</v>
      </c>
      <c r="C111" s="148">
        <v>4</v>
      </c>
      <c r="D111" s="149">
        <v>106229589</v>
      </c>
      <c r="E111" s="181">
        <f t="shared" si="1"/>
        <v>302.07588978372962</v>
      </c>
      <c r="F111" s="151">
        <f t="shared" si="2"/>
        <v>1.0069196326124321</v>
      </c>
    </row>
    <row r="112" spans="1:10" ht="26.25" customHeight="1" x14ac:dyDescent="0.4">
      <c r="A112" s="29" t="s">
        <v>88</v>
      </c>
      <c r="B112" s="30">
        <v>1</v>
      </c>
      <c r="C112" s="148">
        <v>5</v>
      </c>
      <c r="D112" s="149">
        <v>105312341</v>
      </c>
      <c r="E112" s="181">
        <f t="shared" si="1"/>
        <v>299.46759101913267</v>
      </c>
      <c r="F112" s="151">
        <f t="shared" si="2"/>
        <v>0.99822530339710891</v>
      </c>
    </row>
    <row r="113" spans="1:10" ht="26.25" customHeight="1" x14ac:dyDescent="0.4">
      <c r="A113" s="29" t="s">
        <v>90</v>
      </c>
      <c r="B113" s="30">
        <v>1</v>
      </c>
      <c r="C113" s="152">
        <v>6</v>
      </c>
      <c r="D113" s="153">
        <v>105640007</v>
      </c>
      <c r="E113" s="182">
        <f t="shared" si="1"/>
        <v>300.39934646913139</v>
      </c>
      <c r="F113" s="154">
        <f t="shared" si="2"/>
        <v>1.0013311548971047</v>
      </c>
    </row>
    <row r="114" spans="1:10" ht="26.25" customHeight="1" x14ac:dyDescent="0.4">
      <c r="A114" s="29" t="s">
        <v>91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92</v>
      </c>
      <c r="B115" s="30">
        <v>1</v>
      </c>
      <c r="C115" s="148"/>
      <c r="D115" s="156" t="s">
        <v>61</v>
      </c>
      <c r="E115" s="184">
        <f>AVERAGE(E108:E113)</f>
        <v>301.63185906705513</v>
      </c>
      <c r="F115" s="157">
        <f>AVERAGE(F108:F113)</f>
        <v>1.0054395302235168</v>
      </c>
    </row>
    <row r="116" spans="1:10" ht="27" customHeight="1" x14ac:dyDescent="0.4">
      <c r="A116" s="29" t="s">
        <v>93</v>
      </c>
      <c r="B116" s="61">
        <f>(B115/B114)*(B113/B112)*(B111/B110)*(B109/B108)*B107</f>
        <v>900</v>
      </c>
      <c r="C116" s="158"/>
      <c r="D116" s="121" t="s">
        <v>74</v>
      </c>
      <c r="E116" s="159">
        <f>STDEV(E108:E113)/E115</f>
        <v>4.9238861189417789E-3</v>
      </c>
      <c r="F116" s="159">
        <f>STDEV(F108:F113)/F115</f>
        <v>4.9238861189417615E-3</v>
      </c>
      <c r="I116" s="3"/>
    </row>
    <row r="117" spans="1:10" ht="27" customHeight="1" x14ac:dyDescent="0.4">
      <c r="A117" s="486" t="s">
        <v>68</v>
      </c>
      <c r="B117" s="487"/>
      <c r="C117" s="160"/>
      <c r="D117" s="161" t="s">
        <v>20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88"/>
      <c r="B118" s="489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96</v>
      </c>
      <c r="B120" s="109" t="s">
        <v>113</v>
      </c>
      <c r="C120" s="498" t="str">
        <f>B20</f>
        <v>Lamivudine and Tenofovir Disoproxil Fumarate</v>
      </c>
      <c r="D120" s="498"/>
      <c r="E120" s="110" t="s">
        <v>114</v>
      </c>
      <c r="F120" s="110"/>
      <c r="G120" s="111">
        <f>F115</f>
        <v>1.0054395302235168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99" t="s">
        <v>23</v>
      </c>
      <c r="C122" s="499"/>
      <c r="E122" s="116" t="s">
        <v>24</v>
      </c>
      <c r="F122" s="165"/>
      <c r="G122" s="499" t="s">
        <v>25</v>
      </c>
      <c r="H122" s="499"/>
    </row>
    <row r="123" spans="1:10" ht="69.95" customHeight="1" x14ac:dyDescent="0.3">
      <c r="A123" s="166" t="s">
        <v>26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27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5" workbookViewId="0">
      <selection activeCell="D48" sqref="D4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96" t="s">
        <v>28</v>
      </c>
      <c r="B1" s="496"/>
      <c r="C1" s="496"/>
      <c r="D1" s="496"/>
      <c r="E1" s="496"/>
      <c r="F1" s="496"/>
      <c r="G1" s="496"/>
      <c r="H1" s="496"/>
      <c r="I1" s="496"/>
    </row>
    <row r="2" spans="1:9" ht="18.75" customHeight="1" x14ac:dyDescent="0.25">
      <c r="A2" s="496"/>
      <c r="B2" s="496"/>
      <c r="C2" s="496"/>
      <c r="D2" s="496"/>
      <c r="E2" s="496"/>
      <c r="F2" s="496"/>
      <c r="G2" s="496"/>
      <c r="H2" s="496"/>
      <c r="I2" s="496"/>
    </row>
    <row r="3" spans="1:9" ht="18.75" customHeight="1" x14ac:dyDescent="0.25">
      <c r="A3" s="496"/>
      <c r="B3" s="496"/>
      <c r="C3" s="496"/>
      <c r="D3" s="496"/>
      <c r="E3" s="496"/>
      <c r="F3" s="496"/>
      <c r="G3" s="496"/>
      <c r="H3" s="496"/>
      <c r="I3" s="496"/>
    </row>
    <row r="4" spans="1:9" ht="18.75" customHeight="1" x14ac:dyDescent="0.25">
      <c r="A4" s="496"/>
      <c r="B4" s="496"/>
      <c r="C4" s="496"/>
      <c r="D4" s="496"/>
      <c r="E4" s="496"/>
      <c r="F4" s="496"/>
      <c r="G4" s="496"/>
      <c r="H4" s="496"/>
      <c r="I4" s="496"/>
    </row>
    <row r="5" spans="1:9" ht="18.75" customHeight="1" x14ac:dyDescent="0.25">
      <c r="A5" s="496"/>
      <c r="B5" s="496"/>
      <c r="C5" s="496"/>
      <c r="D5" s="496"/>
      <c r="E5" s="496"/>
      <c r="F5" s="496"/>
      <c r="G5" s="496"/>
      <c r="H5" s="496"/>
      <c r="I5" s="496"/>
    </row>
    <row r="6" spans="1:9" ht="18.75" customHeight="1" x14ac:dyDescent="0.25">
      <c r="A6" s="496"/>
      <c r="B6" s="496"/>
      <c r="C6" s="496"/>
      <c r="D6" s="496"/>
      <c r="E6" s="496"/>
      <c r="F6" s="496"/>
      <c r="G6" s="496"/>
      <c r="H6" s="496"/>
      <c r="I6" s="496"/>
    </row>
    <row r="7" spans="1:9" ht="18.75" customHeight="1" x14ac:dyDescent="0.25">
      <c r="A7" s="496"/>
      <c r="B7" s="496"/>
      <c r="C7" s="496"/>
      <c r="D7" s="496"/>
      <c r="E7" s="496"/>
      <c r="F7" s="496"/>
      <c r="G7" s="496"/>
      <c r="H7" s="496"/>
      <c r="I7" s="496"/>
    </row>
    <row r="8" spans="1:9" x14ac:dyDescent="0.25">
      <c r="A8" s="497" t="s">
        <v>29</v>
      </c>
      <c r="B8" s="497"/>
      <c r="C8" s="497"/>
      <c r="D8" s="497"/>
      <c r="E8" s="497"/>
      <c r="F8" s="497"/>
      <c r="G8" s="497"/>
      <c r="H8" s="497"/>
      <c r="I8" s="497"/>
    </row>
    <row r="9" spans="1:9" x14ac:dyDescent="0.25">
      <c r="A9" s="497"/>
      <c r="B9" s="497"/>
      <c r="C9" s="497"/>
      <c r="D9" s="497"/>
      <c r="E9" s="497"/>
      <c r="F9" s="497"/>
      <c r="G9" s="497"/>
      <c r="H9" s="497"/>
      <c r="I9" s="497"/>
    </row>
    <row r="10" spans="1:9" x14ac:dyDescent="0.25">
      <c r="A10" s="497"/>
      <c r="B10" s="497"/>
      <c r="C10" s="497"/>
      <c r="D10" s="497"/>
      <c r="E10" s="497"/>
      <c r="F10" s="497"/>
      <c r="G10" s="497"/>
      <c r="H10" s="497"/>
      <c r="I10" s="497"/>
    </row>
    <row r="11" spans="1:9" x14ac:dyDescent="0.25">
      <c r="A11" s="497"/>
      <c r="B11" s="497"/>
      <c r="C11" s="497"/>
      <c r="D11" s="497"/>
      <c r="E11" s="497"/>
      <c r="F11" s="497"/>
      <c r="G11" s="497"/>
      <c r="H11" s="497"/>
      <c r="I11" s="497"/>
    </row>
    <row r="12" spans="1:9" x14ac:dyDescent="0.25">
      <c r="A12" s="497"/>
      <c r="B12" s="497"/>
      <c r="C12" s="497"/>
      <c r="D12" s="497"/>
      <c r="E12" s="497"/>
      <c r="F12" s="497"/>
      <c r="G12" s="497"/>
      <c r="H12" s="497"/>
      <c r="I12" s="497"/>
    </row>
    <row r="13" spans="1:9" x14ac:dyDescent="0.25">
      <c r="A13" s="497"/>
      <c r="B13" s="497"/>
      <c r="C13" s="497"/>
      <c r="D13" s="497"/>
      <c r="E13" s="497"/>
      <c r="F13" s="497"/>
      <c r="G13" s="497"/>
      <c r="H13" s="497"/>
      <c r="I13" s="497"/>
    </row>
    <row r="14" spans="1:9" x14ac:dyDescent="0.25">
      <c r="A14" s="497"/>
      <c r="B14" s="497"/>
      <c r="C14" s="497"/>
      <c r="D14" s="497"/>
      <c r="E14" s="497"/>
      <c r="F14" s="497"/>
      <c r="G14" s="497"/>
      <c r="H14" s="497"/>
      <c r="I14" s="497"/>
    </row>
    <row r="15" spans="1:9" ht="19.5" customHeight="1" x14ac:dyDescent="0.3">
      <c r="A15" s="186"/>
    </row>
    <row r="16" spans="1:9" ht="19.5" customHeight="1" x14ac:dyDescent="0.3">
      <c r="A16" s="469" t="s">
        <v>30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31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188" t="s">
        <v>32</v>
      </c>
      <c r="B18" s="468" t="s">
        <v>5</v>
      </c>
      <c r="C18" s="468"/>
      <c r="D18" s="355"/>
      <c r="E18" s="189"/>
      <c r="F18" s="190"/>
      <c r="G18" s="190"/>
      <c r="H18" s="190"/>
    </row>
    <row r="19" spans="1:14" ht="26.25" customHeight="1" x14ac:dyDescent="0.4">
      <c r="A19" s="188" t="s">
        <v>33</v>
      </c>
      <c r="B19" s="191" t="s">
        <v>7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34</v>
      </c>
      <c r="B20" s="473" t="s">
        <v>9</v>
      </c>
      <c r="C20" s="473"/>
      <c r="D20" s="190"/>
      <c r="E20" s="190"/>
      <c r="F20" s="190"/>
      <c r="G20" s="190"/>
      <c r="H20" s="190"/>
    </row>
    <row r="21" spans="1:14" ht="26.25" customHeight="1" x14ac:dyDescent="0.4">
      <c r="A21" s="188" t="s">
        <v>35</v>
      </c>
      <c r="B21" s="473" t="s">
        <v>11</v>
      </c>
      <c r="C21" s="473"/>
      <c r="D21" s="473"/>
      <c r="E21" s="473"/>
      <c r="F21" s="473"/>
      <c r="G21" s="473"/>
      <c r="H21" s="473"/>
      <c r="I21" s="192"/>
    </row>
    <row r="22" spans="1:14" ht="26.25" customHeight="1" x14ac:dyDescent="0.4">
      <c r="A22" s="188" t="s">
        <v>36</v>
      </c>
      <c r="B22" s="193" t="s">
        <v>12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37</v>
      </c>
      <c r="B23" s="193"/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1</v>
      </c>
      <c r="B25" s="194"/>
    </row>
    <row r="26" spans="1:14" ht="26.25" customHeight="1" x14ac:dyDescent="0.4">
      <c r="A26" s="196" t="s">
        <v>4</v>
      </c>
      <c r="B26" s="468" t="s">
        <v>128</v>
      </c>
      <c r="C26" s="468"/>
    </row>
    <row r="27" spans="1:14" ht="26.25" customHeight="1" x14ac:dyDescent="0.4">
      <c r="A27" s="197" t="s">
        <v>38</v>
      </c>
      <c r="B27" s="474" t="s">
        <v>129</v>
      </c>
      <c r="C27" s="474"/>
    </row>
    <row r="28" spans="1:14" ht="27" customHeight="1" x14ac:dyDescent="0.4">
      <c r="A28" s="197" t="s">
        <v>6</v>
      </c>
      <c r="B28" s="198">
        <v>98.8</v>
      </c>
    </row>
    <row r="29" spans="1:14" s="2" customFormat="1" ht="27" customHeight="1" x14ac:dyDescent="0.4">
      <c r="A29" s="197" t="s">
        <v>39</v>
      </c>
      <c r="B29" s="199">
        <v>0</v>
      </c>
      <c r="C29" s="475" t="s">
        <v>40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41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42</v>
      </c>
      <c r="B31" s="204">
        <v>1</v>
      </c>
      <c r="C31" s="478" t="s">
        <v>43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44</v>
      </c>
      <c r="B32" s="204">
        <v>1</v>
      </c>
      <c r="C32" s="478" t="s">
        <v>45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46</v>
      </c>
      <c r="B34" s="209">
        <f>B31/B32</f>
        <v>1</v>
      </c>
      <c r="C34" s="187" t="s">
        <v>47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48</v>
      </c>
      <c r="B36" s="211">
        <v>20</v>
      </c>
      <c r="C36" s="187"/>
      <c r="D36" s="481" t="s">
        <v>49</v>
      </c>
      <c r="E36" s="482"/>
      <c r="F36" s="481" t="s">
        <v>50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51</v>
      </c>
      <c r="B37" s="213">
        <v>3</v>
      </c>
      <c r="C37" s="214" t="s">
        <v>52</v>
      </c>
      <c r="D37" s="215" t="s">
        <v>53</v>
      </c>
      <c r="E37" s="216" t="s">
        <v>54</v>
      </c>
      <c r="F37" s="215" t="s">
        <v>53</v>
      </c>
      <c r="G37" s="217" t="s">
        <v>54</v>
      </c>
      <c r="I37" s="218" t="s">
        <v>55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56</v>
      </c>
      <c r="B38" s="213">
        <v>25</v>
      </c>
      <c r="C38" s="219">
        <v>1</v>
      </c>
      <c r="D38" s="220">
        <v>28152268</v>
      </c>
      <c r="E38" s="221">
        <f>IF(ISBLANK(D38),"-",$D$48/$D$45*D38)</f>
        <v>27935488.608398829</v>
      </c>
      <c r="F38" s="220">
        <v>30899525</v>
      </c>
      <c r="G38" s="222">
        <f>IF(ISBLANK(F38),"-",$D$48/$F$45*F38)</f>
        <v>27740662.475158714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57</v>
      </c>
      <c r="B39" s="213">
        <v>1</v>
      </c>
      <c r="C39" s="224">
        <v>2</v>
      </c>
      <c r="D39" s="225">
        <v>28188704</v>
      </c>
      <c r="E39" s="226">
        <f>IF(ISBLANK(D39),"-",$D$48/$D$45*D39)</f>
        <v>27971644.042232282</v>
      </c>
      <c r="F39" s="225">
        <v>31124178</v>
      </c>
      <c r="G39" s="227">
        <f>IF(ISBLANK(F39),"-",$D$48/$F$45*F39)</f>
        <v>27942349.169275593</v>
      </c>
      <c r="I39" s="485">
        <f>ABS((F43/D43*D42)-F42)/D42</f>
        <v>2.9666318601923162E-3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58</v>
      </c>
      <c r="B40" s="213">
        <v>1</v>
      </c>
      <c r="C40" s="224">
        <v>3</v>
      </c>
      <c r="D40" s="225">
        <v>28168717</v>
      </c>
      <c r="E40" s="226">
        <f>IF(ISBLANK(D40),"-",$D$48/$D$45*D40)</f>
        <v>27951810.947050888</v>
      </c>
      <c r="F40" s="225">
        <v>31133650</v>
      </c>
      <c r="G40" s="227">
        <f>IF(ISBLANK(F40),"-",$D$48/$F$45*F40)</f>
        <v>27950852.845463648</v>
      </c>
      <c r="I40" s="485"/>
      <c r="L40" s="205"/>
      <c r="M40" s="205"/>
      <c r="N40" s="228"/>
    </row>
    <row r="41" spans="1:14" ht="27" customHeight="1" x14ac:dyDescent="0.4">
      <c r="A41" s="212" t="s">
        <v>59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60</v>
      </c>
      <c r="B42" s="213">
        <v>1</v>
      </c>
      <c r="C42" s="234" t="s">
        <v>61</v>
      </c>
      <c r="D42" s="235">
        <f>AVERAGE(D38:D41)</f>
        <v>28169896.333333332</v>
      </c>
      <c r="E42" s="236">
        <f>AVERAGE(E38:E41)</f>
        <v>27952981.199227333</v>
      </c>
      <c r="F42" s="235">
        <f>AVERAGE(F38:F41)</f>
        <v>31052451</v>
      </c>
      <c r="G42" s="237">
        <f>AVERAGE(G38:G41)</f>
        <v>27877954.829965983</v>
      </c>
      <c r="H42" s="238"/>
    </row>
    <row r="43" spans="1:14" ht="26.25" customHeight="1" x14ac:dyDescent="0.4">
      <c r="A43" s="212" t="s">
        <v>62</v>
      </c>
      <c r="B43" s="213">
        <v>1</v>
      </c>
      <c r="C43" s="239" t="s">
        <v>63</v>
      </c>
      <c r="D43" s="240">
        <v>17</v>
      </c>
      <c r="E43" s="228"/>
      <c r="F43" s="240">
        <v>18.79</v>
      </c>
      <c r="H43" s="238"/>
    </row>
    <row r="44" spans="1:14" ht="26.25" customHeight="1" x14ac:dyDescent="0.4">
      <c r="A44" s="212" t="s">
        <v>64</v>
      </c>
      <c r="B44" s="213">
        <v>1</v>
      </c>
      <c r="C44" s="241" t="s">
        <v>65</v>
      </c>
      <c r="D44" s="242">
        <f>D43*$B$34</f>
        <v>17</v>
      </c>
      <c r="E44" s="243"/>
      <c r="F44" s="242">
        <f>F43*$B$34</f>
        <v>18.79</v>
      </c>
      <c r="H44" s="238"/>
    </row>
    <row r="45" spans="1:14" ht="19.5" customHeight="1" x14ac:dyDescent="0.3">
      <c r="A45" s="212" t="s">
        <v>66</v>
      </c>
      <c r="B45" s="244">
        <f>(B44/B43)*(B42/B41)*(B40/B39)*(B38/B37)*B36</f>
        <v>166.66666666666669</v>
      </c>
      <c r="C45" s="241" t="s">
        <v>67</v>
      </c>
      <c r="D45" s="245">
        <f>D44*$B$30/100</f>
        <v>16.795999999999999</v>
      </c>
      <c r="E45" s="246"/>
      <c r="F45" s="245">
        <f>F44*$B$30/100</f>
        <v>18.564519999999998</v>
      </c>
      <c r="H45" s="238"/>
    </row>
    <row r="46" spans="1:14" ht="19.5" customHeight="1" x14ac:dyDescent="0.3">
      <c r="A46" s="486" t="s">
        <v>68</v>
      </c>
      <c r="B46" s="487"/>
      <c r="C46" s="241" t="s">
        <v>69</v>
      </c>
      <c r="D46" s="247">
        <f>D45/$B$45</f>
        <v>0.10077599999999999</v>
      </c>
      <c r="E46" s="248"/>
      <c r="F46" s="249">
        <f>F45/$B$45</f>
        <v>0.11138711999999998</v>
      </c>
      <c r="H46" s="238"/>
    </row>
    <row r="47" spans="1:14" ht="27" customHeight="1" x14ac:dyDescent="0.4">
      <c r="A47" s="488"/>
      <c r="B47" s="489"/>
      <c r="C47" s="250" t="s">
        <v>70</v>
      </c>
      <c r="D47" s="251">
        <v>0.1</v>
      </c>
      <c r="E47" s="252"/>
      <c r="F47" s="248"/>
      <c r="H47" s="238"/>
    </row>
    <row r="48" spans="1:14" ht="18.75" x14ac:dyDescent="0.3">
      <c r="C48" s="253" t="s">
        <v>71</v>
      </c>
      <c r="D48" s="245">
        <f>D47*$B$45</f>
        <v>16.666666666666668</v>
      </c>
      <c r="F48" s="254"/>
      <c r="H48" s="238"/>
    </row>
    <row r="49" spans="1:12" ht="19.5" customHeight="1" x14ac:dyDescent="0.3">
      <c r="C49" s="255" t="s">
        <v>72</v>
      </c>
      <c r="D49" s="256">
        <f>D48/B34</f>
        <v>16.666666666666668</v>
      </c>
      <c r="F49" s="254"/>
      <c r="H49" s="238"/>
    </row>
    <row r="50" spans="1:12" ht="18.75" x14ac:dyDescent="0.3">
      <c r="C50" s="210" t="s">
        <v>73</v>
      </c>
      <c r="D50" s="257">
        <f>AVERAGE(E38:E41,G38:G41)</f>
        <v>27915468.01459666</v>
      </c>
      <c r="F50" s="258"/>
      <c r="H50" s="238"/>
    </row>
    <row r="51" spans="1:12" ht="18.75" x14ac:dyDescent="0.3">
      <c r="C51" s="212" t="s">
        <v>74</v>
      </c>
      <c r="D51" s="259">
        <f>STDEV(E38:E41,G38:G41)/D50</f>
        <v>3.0985489153447644E-3</v>
      </c>
      <c r="F51" s="258"/>
      <c r="H51" s="238"/>
    </row>
    <row r="52" spans="1:12" ht="19.5" customHeight="1" x14ac:dyDescent="0.3">
      <c r="C52" s="260" t="s">
        <v>20</v>
      </c>
      <c r="D52" s="261">
        <f>COUNT(E38:E41,G38:G41)</f>
        <v>6</v>
      </c>
      <c r="F52" s="258"/>
    </row>
    <row r="54" spans="1:12" ht="18.75" x14ac:dyDescent="0.3">
      <c r="A54" s="262" t="s">
        <v>1</v>
      </c>
      <c r="B54" s="263" t="s">
        <v>75</v>
      </c>
    </row>
    <row r="55" spans="1:12" ht="18.75" x14ac:dyDescent="0.3">
      <c r="A55" s="187" t="s">
        <v>76</v>
      </c>
      <c r="B55" s="264" t="str">
        <f>B21</f>
        <v>Each tablet contains lamivudine 300mg, Tenofovir Disproxil fumarate 300mg</v>
      </c>
    </row>
    <row r="56" spans="1:12" ht="26.25" customHeight="1" x14ac:dyDescent="0.4">
      <c r="A56" s="265" t="s">
        <v>77</v>
      </c>
      <c r="B56" s="266">
        <v>300</v>
      </c>
      <c r="C56" s="187" t="str">
        <f>B20</f>
        <v>Lamivudine and Tenofovir Disoproxil Fumarate</v>
      </c>
      <c r="H56" s="267"/>
    </row>
    <row r="57" spans="1:12" ht="18.75" x14ac:dyDescent="0.3">
      <c r="A57" s="264" t="s">
        <v>78</v>
      </c>
      <c r="B57" s="356">
        <f>Uniformity!C46</f>
        <v>870.73700000000008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79</v>
      </c>
      <c r="B59" s="211">
        <v>50</v>
      </c>
      <c r="C59" s="187"/>
      <c r="D59" s="268" t="s">
        <v>80</v>
      </c>
      <c r="E59" s="269" t="s">
        <v>52</v>
      </c>
      <c r="F59" s="269" t="s">
        <v>53</v>
      </c>
      <c r="G59" s="269" t="s">
        <v>81</v>
      </c>
      <c r="H59" s="214" t="s">
        <v>82</v>
      </c>
      <c r="L59" s="200"/>
    </row>
    <row r="60" spans="1:12" s="2" customFormat="1" ht="26.25" customHeight="1" x14ac:dyDescent="0.4">
      <c r="A60" s="212" t="s">
        <v>83</v>
      </c>
      <c r="B60" s="213">
        <v>5</v>
      </c>
      <c r="C60" s="490" t="s">
        <v>84</v>
      </c>
      <c r="D60" s="493">
        <v>145.63999999999999</v>
      </c>
      <c r="E60" s="270">
        <v>1</v>
      </c>
      <c r="F60" s="271">
        <v>27140991</v>
      </c>
      <c r="G60" s="357">
        <f>IF(ISBLANK(F60),"-",(F60/$D$50*$D$47*$B$68)*($B$57/$D$60))</f>
        <v>290.64116182689366</v>
      </c>
      <c r="H60" s="272">
        <f t="shared" ref="H60:H71" si="0">IF(ISBLANK(F60),"-",G60/$B$56)</f>
        <v>0.96880387275631219</v>
      </c>
      <c r="L60" s="200"/>
    </row>
    <row r="61" spans="1:12" s="2" customFormat="1" ht="26.25" customHeight="1" x14ac:dyDescent="0.4">
      <c r="A61" s="212" t="s">
        <v>85</v>
      </c>
      <c r="B61" s="213">
        <v>50</v>
      </c>
      <c r="C61" s="491"/>
      <c r="D61" s="494"/>
      <c r="E61" s="273">
        <v>2</v>
      </c>
      <c r="F61" s="225">
        <v>27236947</v>
      </c>
      <c r="G61" s="358">
        <f>IF(ISBLANK(F61),"-",(F61/$D$50*$D$47*$B$68)*($B$57/$D$60))</f>
        <v>291.66871322780827</v>
      </c>
      <c r="H61" s="274">
        <f t="shared" si="0"/>
        <v>0.97222904409269428</v>
      </c>
      <c r="L61" s="200"/>
    </row>
    <row r="62" spans="1:12" s="2" customFormat="1" ht="26.25" customHeight="1" x14ac:dyDescent="0.4">
      <c r="A62" s="212" t="s">
        <v>86</v>
      </c>
      <c r="B62" s="213">
        <v>1</v>
      </c>
      <c r="C62" s="491"/>
      <c r="D62" s="494"/>
      <c r="E62" s="273">
        <v>3</v>
      </c>
      <c r="F62" s="275">
        <v>27172090</v>
      </c>
      <c r="G62" s="358">
        <f>IF(ISBLANK(F62),"-",(F62/$D$50*$D$47*$B$68)*($B$57/$D$60))</f>
        <v>290.97418759930025</v>
      </c>
      <c r="H62" s="274">
        <f t="shared" si="0"/>
        <v>0.96991395866433416</v>
      </c>
      <c r="L62" s="200"/>
    </row>
    <row r="63" spans="1:12" ht="27" customHeight="1" x14ac:dyDescent="0.4">
      <c r="A63" s="212" t="s">
        <v>87</v>
      </c>
      <c r="B63" s="213">
        <v>1</v>
      </c>
      <c r="C63" s="492"/>
      <c r="D63" s="49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88</v>
      </c>
      <c r="B64" s="213">
        <v>1</v>
      </c>
      <c r="C64" s="490" t="s">
        <v>89</v>
      </c>
      <c r="D64" s="493">
        <v>145.22</v>
      </c>
      <c r="E64" s="270">
        <v>1</v>
      </c>
      <c r="F64" s="271">
        <v>26761477</v>
      </c>
      <c r="G64" s="359">
        <f>IF(ISBLANK(F64),"-",(F64/$D$50*$D$47*$B$68)*($B$57/$D$64))</f>
        <v>287.4059380440986</v>
      </c>
      <c r="H64" s="278">
        <f t="shared" si="0"/>
        <v>0.95801979348032873</v>
      </c>
    </row>
    <row r="65" spans="1:8" ht="26.25" customHeight="1" x14ac:dyDescent="0.4">
      <c r="A65" s="212" t="s">
        <v>90</v>
      </c>
      <c r="B65" s="213">
        <v>1</v>
      </c>
      <c r="C65" s="491"/>
      <c r="D65" s="494"/>
      <c r="E65" s="273">
        <v>2</v>
      </c>
      <c r="F65" s="225">
        <v>26805963</v>
      </c>
      <c r="G65" s="360">
        <f>IF(ISBLANK(F65),"-",(F65/$D$50*$D$47*$B$68)*($B$57/$D$64))</f>
        <v>287.88369719617492</v>
      </c>
      <c r="H65" s="279">
        <f t="shared" si="0"/>
        <v>0.95961232398724972</v>
      </c>
    </row>
    <row r="66" spans="1:8" ht="26.25" customHeight="1" x14ac:dyDescent="0.4">
      <c r="A66" s="212" t="s">
        <v>91</v>
      </c>
      <c r="B66" s="213">
        <v>1</v>
      </c>
      <c r="C66" s="491"/>
      <c r="D66" s="494"/>
      <c r="E66" s="273">
        <v>3</v>
      </c>
      <c r="F66" s="225">
        <v>26816803</v>
      </c>
      <c r="G66" s="360">
        <f>IF(ISBLANK(F66),"-",(F66/$D$50*$D$47*$B$68)*($B$57/$D$64))</f>
        <v>288.00011380383813</v>
      </c>
      <c r="H66" s="279">
        <f t="shared" si="0"/>
        <v>0.96000037934612714</v>
      </c>
    </row>
    <row r="67" spans="1:8" ht="27" customHeight="1" x14ac:dyDescent="0.4">
      <c r="A67" s="212" t="s">
        <v>92</v>
      </c>
      <c r="B67" s="213">
        <v>1</v>
      </c>
      <c r="C67" s="492"/>
      <c r="D67" s="49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93</v>
      </c>
      <c r="B68" s="281">
        <f>(B67/B66)*(B65/B64)*(B63/B62)*(B61/B60)*B59</f>
        <v>500</v>
      </c>
      <c r="C68" s="490" t="s">
        <v>94</v>
      </c>
      <c r="D68" s="493">
        <v>146.82</v>
      </c>
      <c r="E68" s="270">
        <v>1</v>
      </c>
      <c r="F68" s="271">
        <v>27649419</v>
      </c>
      <c r="G68" s="359">
        <f>IF(ISBLANK(F68),"-",(F68/$D$50*$D$47*$B$68)*($B$57/$D$68))</f>
        <v>293.70604170078997</v>
      </c>
      <c r="H68" s="274">
        <f t="shared" si="0"/>
        <v>0.97902013900263318</v>
      </c>
    </row>
    <row r="69" spans="1:8" ht="27" customHeight="1" x14ac:dyDescent="0.4">
      <c r="A69" s="260" t="s">
        <v>95</v>
      </c>
      <c r="B69" s="282">
        <f>(D47*B68)/B56*B57</f>
        <v>145.12283333333335</v>
      </c>
      <c r="C69" s="491"/>
      <c r="D69" s="494"/>
      <c r="E69" s="273">
        <v>2</v>
      </c>
      <c r="F69" s="225">
        <v>27380556</v>
      </c>
      <c r="G69" s="360">
        <f>IF(ISBLANK(F69),"-",(F69/$D$50*$D$47*$B$68)*($B$57/$D$68))</f>
        <v>290.85004362394795</v>
      </c>
      <c r="H69" s="274">
        <f t="shared" si="0"/>
        <v>0.96950014541315988</v>
      </c>
    </row>
    <row r="70" spans="1:8" ht="26.25" customHeight="1" x14ac:dyDescent="0.4">
      <c r="A70" s="503" t="s">
        <v>68</v>
      </c>
      <c r="B70" s="504"/>
      <c r="C70" s="491"/>
      <c r="D70" s="494"/>
      <c r="E70" s="273">
        <v>3</v>
      </c>
      <c r="F70" s="225">
        <v>27165407</v>
      </c>
      <c r="G70" s="360">
        <f>IF(ISBLANK(F70),"-",(F70/$D$50*$D$47*$B$68)*($B$57/$D$68))</f>
        <v>288.56462268378704</v>
      </c>
      <c r="H70" s="274">
        <f t="shared" si="0"/>
        <v>0.9618820756126234</v>
      </c>
    </row>
    <row r="71" spans="1:8" ht="27" customHeight="1" x14ac:dyDescent="0.4">
      <c r="A71" s="505"/>
      <c r="B71" s="506"/>
      <c r="C71" s="502"/>
      <c r="D71" s="49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61</v>
      </c>
      <c r="G72" s="366">
        <f>AVERAGE(G60:G71)</f>
        <v>289.96605774518207</v>
      </c>
      <c r="H72" s="287">
        <f>AVERAGE(H60:H71)</f>
        <v>0.96655352581727372</v>
      </c>
    </row>
    <row r="73" spans="1:8" ht="26.25" customHeight="1" x14ac:dyDescent="0.4">
      <c r="C73" s="284"/>
      <c r="D73" s="284"/>
      <c r="E73" s="284"/>
      <c r="F73" s="288" t="s">
        <v>74</v>
      </c>
      <c r="G73" s="362">
        <f>STDEV(G60:G71)/G72</f>
        <v>7.3014572481044371E-3</v>
      </c>
      <c r="H73" s="362">
        <f>STDEV(H60:H71)/H72</f>
        <v>7.3014572481044275E-3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20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96</v>
      </c>
      <c r="B76" s="292" t="s">
        <v>97</v>
      </c>
      <c r="C76" s="498" t="str">
        <f>B20</f>
        <v>Lamivudine and Tenofovir Disoproxil Fumarate</v>
      </c>
      <c r="D76" s="498"/>
      <c r="E76" s="293" t="s">
        <v>98</v>
      </c>
      <c r="F76" s="293"/>
      <c r="G76" s="294">
        <f>H72</f>
        <v>0.96655352581727372</v>
      </c>
      <c r="H76" s="295"/>
    </row>
    <row r="77" spans="1:8" ht="18.75" x14ac:dyDescent="0.3">
      <c r="A77" s="195" t="s">
        <v>99</v>
      </c>
      <c r="B77" s="195" t="s">
        <v>100</v>
      </c>
    </row>
    <row r="78" spans="1:8" ht="18.75" x14ac:dyDescent="0.3">
      <c r="A78" s="195"/>
      <c r="B78" s="195"/>
    </row>
    <row r="79" spans="1:8" ht="26.25" customHeight="1" x14ac:dyDescent="0.4">
      <c r="A79" s="196" t="s">
        <v>4</v>
      </c>
      <c r="B79" s="484" t="str">
        <f>B26</f>
        <v>Tenofovir Disoproxil Fumurate</v>
      </c>
      <c r="C79" s="484"/>
    </row>
    <row r="80" spans="1:8" ht="26.25" customHeight="1" x14ac:dyDescent="0.4">
      <c r="A80" s="197" t="s">
        <v>38</v>
      </c>
      <c r="B80" s="484" t="str">
        <f>B27</f>
        <v>T11-6</v>
      </c>
      <c r="C80" s="484"/>
    </row>
    <row r="81" spans="1:12" ht="27" customHeight="1" x14ac:dyDescent="0.4">
      <c r="A81" s="197" t="s">
        <v>6</v>
      </c>
      <c r="B81" s="296">
        <f>B28</f>
        <v>98.8</v>
      </c>
    </row>
    <row r="82" spans="1:12" s="2" customFormat="1" ht="27" customHeight="1" x14ac:dyDescent="0.4">
      <c r="A82" s="197" t="s">
        <v>39</v>
      </c>
      <c r="B82" s="199">
        <v>0</v>
      </c>
      <c r="C82" s="475" t="s">
        <v>40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41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42</v>
      </c>
      <c r="B84" s="204">
        <v>1</v>
      </c>
      <c r="C84" s="478" t="s">
        <v>101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44</v>
      </c>
      <c r="B85" s="204">
        <v>1</v>
      </c>
      <c r="C85" s="478" t="s">
        <v>102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46</v>
      </c>
      <c r="B87" s="209">
        <f>B84/B85</f>
        <v>1</v>
      </c>
      <c r="C87" s="187" t="s">
        <v>47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48</v>
      </c>
      <c r="B89" s="211">
        <v>20</v>
      </c>
      <c r="D89" s="297" t="s">
        <v>49</v>
      </c>
      <c r="E89" s="298"/>
      <c r="F89" s="481" t="s">
        <v>50</v>
      </c>
      <c r="G89" s="483"/>
    </row>
    <row r="90" spans="1:12" ht="27" customHeight="1" x14ac:dyDescent="0.4">
      <c r="A90" s="212" t="s">
        <v>51</v>
      </c>
      <c r="B90" s="213">
        <v>10</v>
      </c>
      <c r="C90" s="299" t="s">
        <v>52</v>
      </c>
      <c r="D90" s="215" t="s">
        <v>53</v>
      </c>
      <c r="E90" s="216" t="s">
        <v>54</v>
      </c>
      <c r="F90" s="215" t="s">
        <v>53</v>
      </c>
      <c r="G90" s="300" t="s">
        <v>54</v>
      </c>
      <c r="I90" s="218" t="s">
        <v>55</v>
      </c>
    </row>
    <row r="91" spans="1:12" ht="26.25" customHeight="1" x14ac:dyDescent="0.4">
      <c r="A91" s="212" t="s">
        <v>56</v>
      </c>
      <c r="B91" s="213">
        <v>25</v>
      </c>
      <c r="C91" s="301">
        <v>1</v>
      </c>
      <c r="D91" s="220">
        <v>89879603</v>
      </c>
      <c r="E91" s="221">
        <f>IF(ISBLANK(D91),"-",$D$101/$D$98*D91)</f>
        <v>89187507.938398018</v>
      </c>
      <c r="F91" s="220">
        <v>98563420</v>
      </c>
      <c r="G91" s="222">
        <f>IF(ISBLANK(F91),"-",$D$101/$F$98*F91)</f>
        <v>88487268.545950368</v>
      </c>
      <c r="I91" s="223"/>
    </row>
    <row r="92" spans="1:12" ht="26.25" customHeight="1" x14ac:dyDescent="0.4">
      <c r="A92" s="212" t="s">
        <v>57</v>
      </c>
      <c r="B92" s="213">
        <v>1</v>
      </c>
      <c r="C92" s="285">
        <v>2</v>
      </c>
      <c r="D92" s="225">
        <v>89709705</v>
      </c>
      <c r="E92" s="226">
        <f>IF(ISBLANK(D92),"-",$D$101/$D$98*D92)</f>
        <v>89018918.194808275</v>
      </c>
      <c r="F92" s="225">
        <v>98621604</v>
      </c>
      <c r="G92" s="227">
        <f>IF(ISBLANK(F92),"-",$D$101/$F$98*F92)</f>
        <v>88539504.387940004</v>
      </c>
      <c r="I92" s="485">
        <f>ABS((F96/D96*D95)-F95)/D95</f>
        <v>6.9671290413655402E-3</v>
      </c>
    </row>
    <row r="93" spans="1:12" ht="26.25" customHeight="1" x14ac:dyDescent="0.4">
      <c r="A93" s="212" t="s">
        <v>58</v>
      </c>
      <c r="B93" s="213">
        <v>1</v>
      </c>
      <c r="C93" s="285">
        <v>3</v>
      </c>
      <c r="D93" s="225">
        <v>89464269</v>
      </c>
      <c r="E93" s="226">
        <f>IF(ISBLANK(D93),"-",$D$101/$D$98*D93)</f>
        <v>88775372.112407714</v>
      </c>
      <c r="F93" s="225">
        <v>98323781</v>
      </c>
      <c r="G93" s="227">
        <f>IF(ISBLANK(F93),"-",$D$101/$F$98*F93)</f>
        <v>88272127.872594237</v>
      </c>
      <c r="I93" s="485"/>
    </row>
    <row r="94" spans="1:12" ht="27" customHeight="1" x14ac:dyDescent="0.4">
      <c r="A94" s="212" t="s">
        <v>59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60</v>
      </c>
      <c r="B95" s="213">
        <v>1</v>
      </c>
      <c r="C95" s="304" t="s">
        <v>61</v>
      </c>
      <c r="D95" s="305">
        <f>AVERAGE(D91:D94)</f>
        <v>89684525.666666672</v>
      </c>
      <c r="E95" s="236">
        <f>AVERAGE(E91:E94)</f>
        <v>88993932.748538002</v>
      </c>
      <c r="F95" s="306">
        <f>AVERAGE(F91:F94)</f>
        <v>98502935</v>
      </c>
      <c r="G95" s="307">
        <f>AVERAGE(G91:G94)</f>
        <v>88432966.93549487</v>
      </c>
    </row>
    <row r="96" spans="1:12" ht="26.25" customHeight="1" x14ac:dyDescent="0.4">
      <c r="A96" s="212" t="s">
        <v>62</v>
      </c>
      <c r="B96" s="198">
        <v>1</v>
      </c>
      <c r="C96" s="308" t="s">
        <v>103</v>
      </c>
      <c r="D96" s="309">
        <v>17</v>
      </c>
      <c r="E96" s="228"/>
      <c r="F96" s="240">
        <v>18.79</v>
      </c>
    </row>
    <row r="97" spans="1:10" ht="26.25" customHeight="1" x14ac:dyDescent="0.4">
      <c r="A97" s="212" t="s">
        <v>64</v>
      </c>
      <c r="B97" s="198">
        <v>1</v>
      </c>
      <c r="C97" s="310" t="s">
        <v>104</v>
      </c>
      <c r="D97" s="311">
        <f>D96*$B$87</f>
        <v>17</v>
      </c>
      <c r="E97" s="243"/>
      <c r="F97" s="242">
        <f>F96*$B$87</f>
        <v>18.79</v>
      </c>
    </row>
    <row r="98" spans="1:10" ht="19.5" customHeight="1" x14ac:dyDescent="0.3">
      <c r="A98" s="212" t="s">
        <v>66</v>
      </c>
      <c r="B98" s="312">
        <f>(B97/B96)*(B95/B94)*(B93/B92)*(B91/B90)*B89</f>
        <v>50</v>
      </c>
      <c r="C98" s="310" t="s">
        <v>105</v>
      </c>
      <c r="D98" s="313">
        <f>D97*$B$83/100</f>
        <v>16.795999999999999</v>
      </c>
      <c r="E98" s="246"/>
      <c r="F98" s="245">
        <f>F97*$B$83/100</f>
        <v>18.564519999999998</v>
      </c>
    </row>
    <row r="99" spans="1:10" ht="19.5" customHeight="1" x14ac:dyDescent="0.3">
      <c r="A99" s="486" t="s">
        <v>68</v>
      </c>
      <c r="B99" s="500"/>
      <c r="C99" s="310" t="s">
        <v>106</v>
      </c>
      <c r="D99" s="314">
        <f>D98/$B$98</f>
        <v>0.33592</v>
      </c>
      <c r="E99" s="246"/>
      <c r="F99" s="249">
        <f>F98/$B$98</f>
        <v>0.37129039999999996</v>
      </c>
      <c r="G99" s="315"/>
      <c r="H99" s="238"/>
    </row>
    <row r="100" spans="1:10" ht="19.5" customHeight="1" x14ac:dyDescent="0.3">
      <c r="A100" s="488"/>
      <c r="B100" s="501"/>
      <c r="C100" s="310" t="s">
        <v>70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71</v>
      </c>
      <c r="D101" s="311">
        <f>D100*$B$98</f>
        <v>16.666666666666664</v>
      </c>
      <c r="F101" s="254"/>
      <c r="G101" s="315"/>
      <c r="H101" s="238"/>
    </row>
    <row r="102" spans="1:10" ht="19.5" customHeight="1" x14ac:dyDescent="0.3">
      <c r="C102" s="318" t="s">
        <v>72</v>
      </c>
      <c r="D102" s="319">
        <f>D101/B34</f>
        <v>16.666666666666664</v>
      </c>
      <c r="F102" s="258"/>
      <c r="G102" s="315"/>
      <c r="H102" s="238"/>
      <c r="J102" s="320"/>
    </row>
    <row r="103" spans="1:10" ht="18.75" x14ac:dyDescent="0.3">
      <c r="C103" s="321" t="s">
        <v>107</v>
      </c>
      <c r="D103" s="322">
        <f>AVERAGE(E91:E94,G91:G94)</f>
        <v>88713449.842016444</v>
      </c>
      <c r="F103" s="258"/>
      <c r="G103" s="323"/>
      <c r="H103" s="238"/>
      <c r="J103" s="324"/>
    </row>
    <row r="104" spans="1:10" ht="18.75" x14ac:dyDescent="0.3">
      <c r="C104" s="288" t="s">
        <v>74</v>
      </c>
      <c r="D104" s="325">
        <f>STDEV(E91:E94,G91:G94)/D103</f>
        <v>3.8984917163728456E-3</v>
      </c>
      <c r="F104" s="258"/>
      <c r="G104" s="315"/>
      <c r="H104" s="238"/>
      <c r="J104" s="324"/>
    </row>
    <row r="105" spans="1:10" ht="19.5" customHeight="1" x14ac:dyDescent="0.3">
      <c r="C105" s="290" t="s">
        <v>20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108</v>
      </c>
      <c r="B107" s="211">
        <v>900</v>
      </c>
      <c r="C107" s="327" t="s">
        <v>109</v>
      </c>
      <c r="D107" s="328" t="s">
        <v>53</v>
      </c>
      <c r="E107" s="329" t="s">
        <v>110</v>
      </c>
      <c r="F107" s="330" t="s">
        <v>111</v>
      </c>
    </row>
    <row r="108" spans="1:10" ht="26.25" customHeight="1" x14ac:dyDescent="0.4">
      <c r="A108" s="212" t="s">
        <v>112</v>
      </c>
      <c r="B108" s="213">
        <v>1</v>
      </c>
      <c r="C108" s="331">
        <v>1</v>
      </c>
      <c r="D108" s="332">
        <v>88004649</v>
      </c>
      <c r="E108" s="363">
        <f t="shared" ref="E108:E113" si="1">IF(ISBLANK(D108),"-",D108/$D$103*$D$100*$B$116)</f>
        <v>297.60306635596282</v>
      </c>
      <c r="F108" s="333">
        <f t="shared" ref="F108:F113" si="2">IF(ISBLANK(D108), "-", E108/$B$56)</f>
        <v>0.9920102211865427</v>
      </c>
    </row>
    <row r="109" spans="1:10" ht="26.25" customHeight="1" x14ac:dyDescent="0.4">
      <c r="A109" s="212" t="s">
        <v>85</v>
      </c>
      <c r="B109" s="213">
        <v>1</v>
      </c>
      <c r="C109" s="331">
        <v>2</v>
      </c>
      <c r="D109" s="332">
        <v>86149826</v>
      </c>
      <c r="E109" s="364">
        <f t="shared" si="1"/>
        <v>291.33065894771818</v>
      </c>
      <c r="F109" s="334">
        <f t="shared" si="2"/>
        <v>0.97110219649239393</v>
      </c>
    </row>
    <row r="110" spans="1:10" ht="26.25" customHeight="1" x14ac:dyDescent="0.4">
      <c r="A110" s="212" t="s">
        <v>86</v>
      </c>
      <c r="B110" s="213">
        <v>1</v>
      </c>
      <c r="C110" s="331">
        <v>3</v>
      </c>
      <c r="D110" s="332">
        <v>87011639</v>
      </c>
      <c r="E110" s="364">
        <f t="shared" si="1"/>
        <v>294.24502988538802</v>
      </c>
      <c r="F110" s="334">
        <f t="shared" si="2"/>
        <v>0.98081676628462677</v>
      </c>
    </row>
    <row r="111" spans="1:10" ht="26.25" customHeight="1" x14ac:dyDescent="0.4">
      <c r="A111" s="212" t="s">
        <v>87</v>
      </c>
      <c r="B111" s="213">
        <v>1</v>
      </c>
      <c r="C111" s="331">
        <v>4</v>
      </c>
      <c r="D111" s="332">
        <v>86061107</v>
      </c>
      <c r="E111" s="364">
        <f t="shared" si="1"/>
        <v>291.03064017889119</v>
      </c>
      <c r="F111" s="334">
        <f t="shared" si="2"/>
        <v>0.97010213392963729</v>
      </c>
    </row>
    <row r="112" spans="1:10" ht="26.25" customHeight="1" x14ac:dyDescent="0.4">
      <c r="A112" s="212" t="s">
        <v>88</v>
      </c>
      <c r="B112" s="213">
        <v>1</v>
      </c>
      <c r="C112" s="331">
        <v>5</v>
      </c>
      <c r="D112" s="332">
        <v>86669601</v>
      </c>
      <c r="E112" s="364">
        <f t="shared" si="1"/>
        <v>293.08836874569909</v>
      </c>
      <c r="F112" s="334">
        <f t="shared" si="2"/>
        <v>0.9769612291523303</v>
      </c>
    </row>
    <row r="113" spans="1:10" ht="26.25" customHeight="1" x14ac:dyDescent="0.4">
      <c r="A113" s="212" t="s">
        <v>90</v>
      </c>
      <c r="B113" s="213">
        <v>1</v>
      </c>
      <c r="C113" s="335">
        <v>6</v>
      </c>
      <c r="D113" s="336">
        <v>87537297</v>
      </c>
      <c r="E113" s="365">
        <f t="shared" si="1"/>
        <v>296.02263407371379</v>
      </c>
      <c r="F113" s="337">
        <f t="shared" si="2"/>
        <v>0.98674211357904595</v>
      </c>
    </row>
    <row r="114" spans="1:10" ht="26.25" customHeight="1" x14ac:dyDescent="0.4">
      <c r="A114" s="212" t="s">
        <v>91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92</v>
      </c>
      <c r="B115" s="213">
        <v>1</v>
      </c>
      <c r="C115" s="331"/>
      <c r="D115" s="339" t="s">
        <v>61</v>
      </c>
      <c r="E115" s="367">
        <f>AVERAGE(E108:E113)</f>
        <v>293.88673303122886</v>
      </c>
      <c r="F115" s="340">
        <f>AVERAGE(F108:F113)</f>
        <v>0.97962244343742955</v>
      </c>
    </row>
    <row r="116" spans="1:10" ht="27" customHeight="1" x14ac:dyDescent="0.4">
      <c r="A116" s="212" t="s">
        <v>93</v>
      </c>
      <c r="B116" s="244">
        <f>(B115/B114)*(B113/B112)*(B111/B110)*(B109/B108)*B107</f>
        <v>900</v>
      </c>
      <c r="C116" s="341"/>
      <c r="D116" s="304" t="s">
        <v>74</v>
      </c>
      <c r="E116" s="342">
        <f>STDEV(E108:E113)/E115</f>
        <v>8.8508383789355806E-3</v>
      </c>
      <c r="F116" s="342">
        <f>STDEV(F108:F113)/F115</f>
        <v>8.850838378935565E-3</v>
      </c>
      <c r="I116" s="186"/>
    </row>
    <row r="117" spans="1:10" ht="27" customHeight="1" x14ac:dyDescent="0.4">
      <c r="A117" s="486" t="s">
        <v>68</v>
      </c>
      <c r="B117" s="487"/>
      <c r="C117" s="343"/>
      <c r="D117" s="344" t="s">
        <v>20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88"/>
      <c r="B118" s="489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96</v>
      </c>
      <c r="B120" s="292" t="s">
        <v>113</v>
      </c>
      <c r="C120" s="498" t="str">
        <f>B20</f>
        <v>Lamivudine and Tenofovir Disoproxil Fumarate</v>
      </c>
      <c r="D120" s="498"/>
      <c r="E120" s="293" t="s">
        <v>114</v>
      </c>
      <c r="F120" s="293"/>
      <c r="G120" s="294">
        <f>F115</f>
        <v>0.97962244343742955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99" t="s">
        <v>23</v>
      </c>
      <c r="C122" s="499"/>
      <c r="E122" s="299" t="s">
        <v>24</v>
      </c>
      <c r="F122" s="348"/>
      <c r="G122" s="499" t="s">
        <v>25</v>
      </c>
      <c r="H122" s="499"/>
    </row>
    <row r="123" spans="1:10" ht="69.95" customHeight="1" x14ac:dyDescent="0.3">
      <c r="A123" s="349" t="s">
        <v>26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27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2016-05-18T07:27:41Z</cp:lastPrinted>
  <dcterms:created xsi:type="dcterms:W3CDTF">2005-07-05T10:19:27Z</dcterms:created>
  <dcterms:modified xsi:type="dcterms:W3CDTF">2016-05-26T08:37:34Z</dcterms:modified>
</cp:coreProperties>
</file>