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10" windowWidth="15015" windowHeight="7110" activeTab="3"/>
  </bookViews>
  <sheets>
    <sheet name="TENO SST" sheetId="7" r:id="rId1"/>
    <sheet name="LAM SST " sheetId="8" r:id="rId2"/>
    <sheet name="Uniformity" sheetId="2" r:id="rId3"/>
    <sheet name="Lamivudine" sheetId="3" r:id="rId4"/>
    <sheet name="Tenofovir Disoproxil Fumarate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42" i="8"/>
  <c r="B39" i="8"/>
  <c r="B32" i="8"/>
  <c r="E30" i="8"/>
  <c r="D30" i="8"/>
  <c r="C30" i="8"/>
  <c r="B30" i="8"/>
  <c r="B31" i="8" s="1"/>
  <c r="B21" i="8"/>
  <c r="B54" i="7"/>
  <c r="F52" i="7"/>
  <c r="E52" i="7"/>
  <c r="D52" i="7"/>
  <c r="C52" i="7"/>
  <c r="B52" i="7"/>
  <c r="B53" i="7" s="1"/>
  <c r="B43" i="7"/>
  <c r="B40" i="7"/>
  <c r="B32" i="7"/>
  <c r="F30" i="7"/>
  <c r="E30" i="7"/>
  <c r="D30" i="7"/>
  <c r="C30" i="7"/>
  <c r="B30" i="7"/>
  <c r="B31" i="7" s="1"/>
  <c r="B21" i="7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I39" i="3" s="1"/>
  <c r="D42" i="3"/>
  <c r="B34" i="3"/>
  <c r="D44" i="3" s="1"/>
  <c r="B30" i="3"/>
  <c r="D49" i="2"/>
  <c r="C46" i="2"/>
  <c r="D50" i="2" s="1"/>
  <c r="C45" i="2"/>
  <c r="D41" i="2"/>
  <c r="D40" i="2"/>
  <c r="D37" i="2"/>
  <c r="D36" i="2"/>
  <c r="D33" i="2"/>
  <c r="D32" i="2"/>
  <c r="D31" i="2"/>
  <c r="D29" i="2"/>
  <c r="D28" i="2"/>
  <c r="D27" i="2"/>
  <c r="D25" i="2"/>
  <c r="D24" i="2"/>
  <c r="C19" i="2"/>
  <c r="I39" i="4" l="1"/>
  <c r="D45" i="4"/>
  <c r="E40" i="4" s="1"/>
  <c r="D46" i="4"/>
  <c r="I92" i="4"/>
  <c r="D101" i="4"/>
  <c r="I92" i="3"/>
  <c r="D101" i="3"/>
  <c r="D102" i="3" s="1"/>
  <c r="B69" i="3"/>
  <c r="D45" i="3"/>
  <c r="D46" i="3" s="1"/>
  <c r="D102" i="4"/>
  <c r="D49" i="3"/>
  <c r="E38" i="3"/>
  <c r="E41" i="3"/>
  <c r="F98" i="3"/>
  <c r="F99" i="3" s="1"/>
  <c r="D49" i="4"/>
  <c r="E39" i="4"/>
  <c r="F98" i="4"/>
  <c r="F99" i="4" s="1"/>
  <c r="D35" i="2"/>
  <c r="D39" i="2"/>
  <c r="D43" i="2"/>
  <c r="C49" i="2"/>
  <c r="F44" i="3"/>
  <c r="F45" i="3" s="1"/>
  <c r="F46" i="3" s="1"/>
  <c r="F44" i="4"/>
  <c r="F45" i="4" s="1"/>
  <c r="F46" i="4" s="1"/>
  <c r="B57" i="4"/>
  <c r="B69" i="4" s="1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E38" i="4" l="1"/>
  <c r="E41" i="4"/>
  <c r="E42" i="4" s="1"/>
  <c r="E93" i="4"/>
  <c r="E94" i="4"/>
  <c r="G92" i="3"/>
  <c r="E94" i="3"/>
  <c r="E39" i="3"/>
  <c r="G38" i="3"/>
  <c r="G91" i="3"/>
  <c r="G39" i="3"/>
  <c r="E40" i="3"/>
  <c r="E93" i="3"/>
  <c r="E92" i="4"/>
  <c r="G39" i="4"/>
  <c r="G38" i="4"/>
  <c r="G94" i="4"/>
  <c r="G93" i="4"/>
  <c r="G94" i="3"/>
  <c r="E92" i="3"/>
  <c r="G40" i="4"/>
  <c r="G41" i="4"/>
  <c r="E91" i="4"/>
  <c r="G40" i="3"/>
  <c r="G41" i="3"/>
  <c r="G92" i="4"/>
  <c r="G91" i="4"/>
  <c r="E91" i="3"/>
  <c r="G93" i="3"/>
  <c r="D50" i="4" l="1"/>
  <c r="G66" i="4" s="1"/>
  <c r="H66" i="4" s="1"/>
  <c r="G95" i="4"/>
  <c r="G42" i="4"/>
  <c r="D52" i="4"/>
  <c r="E42" i="3"/>
  <c r="D50" i="3"/>
  <c r="G66" i="3" s="1"/>
  <c r="H66" i="3" s="1"/>
  <c r="G42" i="3"/>
  <c r="D52" i="3"/>
  <c r="G95" i="3"/>
  <c r="E95" i="4"/>
  <c r="D105" i="4"/>
  <c r="D103" i="4"/>
  <c r="E95" i="3"/>
  <c r="D105" i="3"/>
  <c r="D103" i="3"/>
  <c r="G62" i="4" l="1"/>
  <c r="H62" i="4" s="1"/>
  <c r="G65" i="4"/>
  <c r="H65" i="4" s="1"/>
  <c r="G69" i="4"/>
  <c r="H69" i="4" s="1"/>
  <c r="G67" i="4"/>
  <c r="H67" i="4" s="1"/>
  <c r="G71" i="4"/>
  <c r="H71" i="4" s="1"/>
  <c r="G60" i="4"/>
  <c r="H60" i="4" s="1"/>
  <c r="G61" i="4"/>
  <c r="H61" i="4" s="1"/>
  <c r="G70" i="4"/>
  <c r="H70" i="4" s="1"/>
  <c r="G64" i="4"/>
  <c r="H64" i="4" s="1"/>
  <c r="G68" i="4"/>
  <c r="H68" i="4" s="1"/>
  <c r="G63" i="4"/>
  <c r="H63" i="4" s="1"/>
  <c r="D51" i="4"/>
  <c r="G60" i="3"/>
  <c r="H60" i="3" s="1"/>
  <c r="G69" i="3"/>
  <c r="H69" i="3" s="1"/>
  <c r="G65" i="3"/>
  <c r="H65" i="3" s="1"/>
  <c r="G67" i="3"/>
  <c r="H67" i="3" s="1"/>
  <c r="G62" i="3"/>
  <c r="H62" i="3" s="1"/>
  <c r="G71" i="3"/>
  <c r="H71" i="3" s="1"/>
  <c r="G61" i="3"/>
  <c r="H61" i="3" s="1"/>
  <c r="G70" i="3"/>
  <c r="H70" i="3" s="1"/>
  <c r="G64" i="3"/>
  <c r="H64" i="3" s="1"/>
  <c r="G68" i="3"/>
  <c r="H68" i="3" s="1"/>
  <c r="G63" i="3"/>
  <c r="H63" i="3" s="1"/>
  <c r="D51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G72" i="3"/>
  <c r="G73" i="3" s="1"/>
  <c r="G74" i="3"/>
  <c r="H72" i="3"/>
  <c r="H74" i="3"/>
  <c r="E115" i="3"/>
  <c r="E116" i="3" s="1"/>
  <c r="E117" i="3"/>
  <c r="F108" i="3"/>
  <c r="E115" i="4"/>
  <c r="E116" i="4" s="1"/>
  <c r="E117" i="4"/>
  <c r="F108" i="4"/>
  <c r="H74" i="4"/>
  <c r="H72" i="4"/>
  <c r="G76" i="4" l="1"/>
  <c r="H73" i="4"/>
  <c r="F117" i="4"/>
  <c r="F115" i="4"/>
  <c r="F117" i="3"/>
  <c r="F115" i="3"/>
  <c r="G76" i="3"/>
  <c r="H73" i="3"/>
  <c r="G120" i="4" l="1"/>
  <c r="F116" i="4"/>
  <c r="G120" i="3"/>
  <c r="F116" i="3"/>
</calcChain>
</file>

<file path=xl/sharedStrings.xml><?xml version="1.0" encoding="utf-8"?>
<sst xmlns="http://schemas.openxmlformats.org/spreadsheetml/2006/main" count="442" uniqueCount="132">
  <si>
    <t>HPLC System Suitability Report</t>
  </si>
  <si>
    <t>Analysis Data</t>
  </si>
  <si>
    <t>Assay</t>
  </si>
  <si>
    <t>Sample(s)</t>
  </si>
  <si>
    <t>Reference Substance:</t>
  </si>
  <si>
    <t>Lamivudine 300mg and Tenofovir Disoproxil Fumarate 300mg Tablets</t>
  </si>
  <si>
    <t>% age Purity:</t>
  </si>
  <si>
    <t>NDQB201604881</t>
  </si>
  <si>
    <t>Weight (mg):</t>
  </si>
  <si>
    <t>Lamivudine and Tenofovir Disoproxil Fumarate</t>
  </si>
  <si>
    <t>Standard Conc (mg/mL):</t>
  </si>
  <si>
    <t>Each tablet contains Lamivudine 300mg and Tenofovir Disoproxil Fumarate 300mg</t>
  </si>
  <si>
    <t>2016-04-26 13:54:28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</si>
  <si>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</si>
  <si>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</si>
  <si>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</si>
  <si>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</si>
  <si>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</si>
  <si>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</si>
  <si>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</si>
  <si>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</si>
  <si>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</si>
  <si>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</si>
  <si>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</si>
  <si>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</si>
  <si>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</si>
  <si>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</si>
  <si>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</si>
  <si>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</si>
  <si>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</si>
  <si>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</si>
  <si>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</si>
  <si>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</si>
  <si>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</si>
  <si>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</si>
  <si>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</si>
  <si>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</si>
  <si>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</si>
  <si>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</si>
  <si>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</si>
  <si>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</si>
  <si>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</si>
  <si>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</si>
  <si>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</si>
  <si>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</si>
  <si>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</si>
  <si>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</si>
  <si>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</si>
  <si>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</si>
  <si>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</si>
  <si>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</si>
  <si>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</si>
  <si>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</si>
  <si>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</si>
  <si>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</si>
  <si>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</si>
  <si>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</si>
  <si>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</si>
  <si>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</si>
  <si>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</si>
  <si>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</si>
  <si>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</si>
  <si>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</si>
  <si>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</si>
  <si>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</si>
  <si>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</si>
  <si>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</si>
  <si>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</si>
  <si>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</si>
  <si>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</si>
  <si>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</si>
  <si>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</si>
  <si>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</si>
  <si>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</si>
  <si>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</si>
  <si>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</si>
  <si>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</si>
  <si>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</si>
  <si>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</si>
  <si>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</si>
  <si>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</si>
  <si>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</si>
  <si>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</si>
  <si>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</si>
  <si>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</si>
  <si>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</si>
  <si>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</si>
  <si>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</si>
  <si>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</si>
  <si>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</si>
  <si>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</si>
  <si>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</si>
  <si>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</si>
  <si>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</si>
  <si>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</si>
  <si>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</si>
  <si>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</si>
  <si>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</si>
  <si>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</si>
  <si>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</si>
  <si>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</si>
  <si>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</si>
  <si>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</si>
  <si>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</si>
  <si>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</si>
  <si>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</si>
  <si>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</si>
  <si>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</si>
  <si>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</si>
  <si>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</si>
  <si>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</si>
  <si>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</si>
  <si>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</si>
  <si>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</si>
  <si>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</si>
  <si>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</si>
  <si>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</si>
  <si>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</si>
  <si>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</si>
  <si>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</si>
  <si>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</si>
  <si>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</si>
  <si>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</si>
  <si>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</si>
  <si>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</si>
  <si>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Lamivudine</t>
  </si>
  <si>
    <t>L3-9</t>
  </si>
  <si>
    <t>Tenofovir Disoproxil Fumurate</t>
  </si>
  <si>
    <t>T11-6</t>
  </si>
  <si>
    <t>Tenofovir Disoproxil Fumarate</t>
  </si>
  <si>
    <t>Peak Resolution (USP)</t>
  </si>
  <si>
    <r>
      <t>Peak Resolution</t>
    </r>
    <r>
      <rPr>
        <b/>
        <sz val="12"/>
        <color rgb="FF000000"/>
        <rFont val="Book Antiqua"/>
        <family val="1"/>
      </rPr>
      <t xml:space="preserve"> is greater than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</si>
</sst>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56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4" fillId="2" borderId="0" xfId="2" applyFont="1" applyFill="1"/>
    <xf numFmtId="0" fontId="25" fillId="2" borderId="0" xfId="2" applyFont="1" applyFill="1"/>
    <xf numFmtId="0" fontId="25" fillId="2" borderId="0" xfId="2" applyFont="1" applyFill="1" applyAlignment="1">
      <alignment horizontal="right"/>
    </xf>
    <xf numFmtId="0" fontId="27" fillId="2" borderId="0" xfId="2" applyFont="1" applyFill="1"/>
    <xf numFmtId="0" fontId="27" fillId="2" borderId="0" xfId="2" applyFont="1" applyFill="1" applyAlignment="1">
      <alignment horizontal="left"/>
    </xf>
    <xf numFmtId="0" fontId="28" fillId="2" borderId="0" xfId="2" applyFont="1" applyFill="1" applyAlignment="1">
      <alignment horizontal="left"/>
    </xf>
    <xf numFmtId="0" fontId="28" fillId="2" borderId="0" xfId="2" applyFont="1" applyFill="1" applyAlignment="1">
      <alignment horizontal="center"/>
    </xf>
    <xf numFmtId="0" fontId="29" fillId="2" borderId="0" xfId="2" applyFont="1" applyFill="1"/>
    <xf numFmtId="0" fontId="28" fillId="2" borderId="0" xfId="2" applyFont="1" applyFill="1"/>
    <xf numFmtId="2" fontId="28" fillId="2" borderId="0" xfId="2" applyNumberFormat="1" applyFont="1" applyFill="1" applyAlignment="1">
      <alignment horizontal="center"/>
    </xf>
    <xf numFmtId="0" fontId="24" fillId="2" borderId="0" xfId="2" applyFont="1" applyFill="1" applyAlignment="1">
      <alignment horizontal="center"/>
    </xf>
    <xf numFmtId="164" fontId="28" fillId="2" borderId="0" xfId="2" applyNumberFormat="1" applyFont="1" applyFill="1" applyAlignment="1">
      <alignment horizontal="center"/>
    </xf>
    <xf numFmtId="22" fontId="29" fillId="2" borderId="0" xfId="2" applyNumberFormat="1" applyFont="1" applyFill="1"/>
    <xf numFmtId="0" fontId="28" fillId="2" borderId="1" xfId="2" applyFont="1" applyFill="1" applyBorder="1" applyAlignment="1">
      <alignment horizontal="center"/>
    </xf>
    <xf numFmtId="0" fontId="28" fillId="2" borderId="2" xfId="2" applyFont="1" applyFill="1" applyBorder="1" applyAlignment="1">
      <alignment horizontal="center"/>
    </xf>
    <xf numFmtId="0" fontId="29" fillId="2" borderId="3" xfId="2" applyFont="1" applyFill="1" applyBorder="1" applyAlignment="1">
      <alignment horizontal="center"/>
    </xf>
    <xf numFmtId="0" fontId="30" fillId="3" borderId="3" xfId="2" applyFont="1" applyFill="1" applyBorder="1" applyAlignment="1" applyProtection="1">
      <alignment horizontal="center"/>
      <protection locked="0"/>
    </xf>
    <xf numFmtId="2" fontId="30" fillId="3" borderId="3" xfId="2" applyNumberFormat="1" applyFont="1" applyFill="1" applyBorder="1" applyAlignment="1" applyProtection="1">
      <alignment horizontal="center"/>
      <protection locked="0"/>
    </xf>
    <xf numFmtId="2" fontId="30" fillId="3" borderId="4" xfId="2" applyNumberFormat="1" applyFont="1" applyFill="1" applyBorder="1" applyAlignment="1" applyProtection="1">
      <alignment horizontal="center"/>
      <protection locked="0"/>
    </xf>
    <xf numFmtId="0" fontId="30" fillId="3" borderId="5" xfId="2" applyFont="1" applyFill="1" applyBorder="1" applyAlignment="1" applyProtection="1">
      <alignment horizontal="center"/>
      <protection locked="0"/>
    </xf>
    <xf numFmtId="2" fontId="30" fillId="3" borderId="5" xfId="2" applyNumberFormat="1" applyFont="1" applyFill="1" applyBorder="1" applyAlignment="1" applyProtection="1">
      <alignment horizontal="center"/>
      <protection locked="0"/>
    </xf>
    <xf numFmtId="0" fontId="29" fillId="2" borderId="4" xfId="2" applyFont="1" applyFill="1" applyBorder="1"/>
    <xf numFmtId="1" fontId="28" fillId="4" borderId="2" xfId="2" applyNumberFormat="1" applyFont="1" applyFill="1" applyBorder="1" applyAlignment="1">
      <alignment horizontal="center"/>
    </xf>
    <xf numFmtId="1" fontId="28" fillId="4" borderId="1" xfId="2" applyNumberFormat="1" applyFont="1" applyFill="1" applyBorder="1" applyAlignment="1">
      <alignment horizontal="center"/>
    </xf>
    <xf numFmtId="2" fontId="28" fillId="4" borderId="1" xfId="2" applyNumberFormat="1" applyFont="1" applyFill="1" applyBorder="1" applyAlignment="1">
      <alignment horizontal="center"/>
    </xf>
    <xf numFmtId="0" fontId="29" fillId="2" borderId="3" xfId="2" applyFont="1" applyFill="1" applyBorder="1"/>
    <xf numFmtId="10" fontId="28" fillId="5" borderId="1" xfId="2" applyNumberFormat="1" applyFont="1" applyFill="1" applyBorder="1" applyAlignment="1">
      <alignment horizontal="center"/>
    </xf>
    <xf numFmtId="165" fontId="28" fillId="2" borderId="0" xfId="2" applyNumberFormat="1" applyFont="1" applyFill="1" applyAlignment="1">
      <alignment horizontal="center"/>
    </xf>
    <xf numFmtId="0" fontId="29" fillId="2" borderId="6" xfId="2" applyFont="1" applyFill="1" applyBorder="1"/>
    <xf numFmtId="0" fontId="29" fillId="2" borderId="5" xfId="2" applyFont="1" applyFill="1" applyBorder="1"/>
    <xf numFmtId="0" fontId="28" fillId="4" borderId="1" xfId="2" applyFont="1" applyFill="1" applyBorder="1" applyAlignment="1">
      <alignment horizontal="center"/>
    </xf>
    <xf numFmtId="0" fontId="28" fillId="2" borderId="7" xfId="2" applyFont="1" applyFill="1" applyBorder="1" applyAlignment="1">
      <alignment horizontal="center"/>
    </xf>
    <xf numFmtId="0" fontId="29" fillId="2" borderId="7" xfId="2" applyFont="1" applyFill="1" applyBorder="1"/>
    <xf numFmtId="0" fontId="29" fillId="2" borderId="8" xfId="2" applyFont="1" applyFill="1" applyBorder="1"/>
    <xf numFmtId="0" fontId="29" fillId="2" borderId="0" xfId="2" applyFont="1" applyFill="1" applyAlignment="1" applyProtection="1">
      <alignment horizontal="left"/>
      <protection locked="0"/>
    </xf>
    <xf numFmtId="0" fontId="29" fillId="2" borderId="0" xfId="2" applyFont="1" applyFill="1" applyProtection="1">
      <protection locked="0"/>
    </xf>
    <xf numFmtId="0" fontId="25" fillId="2" borderId="9" xfId="2" applyFont="1" applyFill="1" applyBorder="1"/>
    <xf numFmtId="10" fontId="25" fillId="2" borderId="9" xfId="2" applyNumberFormat="1" applyFont="1" applyFill="1" applyBorder="1"/>
    <xf numFmtId="0" fontId="23" fillId="2" borderId="0" xfId="2" applyFill="1"/>
    <xf numFmtId="0" fontId="25" fillId="2" borderId="10" xfId="2" applyFont="1" applyFill="1" applyBorder="1" applyAlignment="1">
      <alignment horizontal="center"/>
    </xf>
    <xf numFmtId="0" fontId="24" fillId="2" borderId="0" xfId="2" applyFont="1" applyFill="1" applyAlignment="1">
      <alignment horizontal="right"/>
    </xf>
    <xf numFmtId="0" fontId="25" fillId="2" borderId="7" xfId="2" applyFont="1" applyFill="1" applyBorder="1"/>
    <xf numFmtId="0" fontId="24" fillId="2" borderId="11" xfId="2" applyFont="1" applyFill="1" applyBorder="1"/>
    <xf numFmtId="0" fontId="25" fillId="2" borderId="11" xfId="2" applyFont="1" applyFill="1" applyBorder="1"/>
    <xf numFmtId="0" fontId="24" fillId="2" borderId="10" xfId="2" applyFont="1" applyFill="1" applyBorder="1" applyAlignment="1">
      <alignment horizontal="center"/>
    </xf>
    <xf numFmtId="0" fontId="26" fillId="2" borderId="0" xfId="2" applyFont="1" applyFill="1" applyAlignment="1">
      <alignment horizontal="center"/>
    </xf>
    <xf numFmtId="0" fontId="24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2" fontId="28" fillId="2" borderId="0" xfId="2" applyNumberFormat="1" applyFont="1" applyFill="1" applyAlignment="1">
      <alignment horizontal="left"/>
    </xf>
    <xf numFmtId="0" fontId="24" fillId="2" borderId="0" xfId="3" applyFont="1" applyFill="1"/>
    <xf numFmtId="0" fontId="25" fillId="2" borderId="0" xfId="3" applyFont="1" applyFill="1"/>
    <xf numFmtId="0" fontId="25" fillId="2" borderId="0" xfId="3" applyFont="1" applyFill="1" applyAlignment="1">
      <alignment horizontal="right"/>
    </xf>
    <xf numFmtId="0" fontId="26" fillId="2" borderId="0" xfId="3" applyFont="1" applyFill="1" applyAlignment="1">
      <alignment horizontal="center"/>
    </xf>
    <xf numFmtId="0" fontId="27" fillId="2" borderId="0" xfId="3" applyFont="1" applyFill="1"/>
    <xf numFmtId="0" fontId="27" fillId="2" borderId="0" xfId="3" applyFont="1" applyFill="1" applyAlignment="1">
      <alignment horizontal="left"/>
    </xf>
    <xf numFmtId="0" fontId="28" fillId="2" borderId="0" xfId="3" applyFont="1" applyFill="1" applyAlignment="1">
      <alignment horizontal="left"/>
    </xf>
    <xf numFmtId="0" fontId="28" fillId="2" borderId="0" xfId="3" applyFont="1" applyFill="1" applyAlignment="1">
      <alignment horizontal="center"/>
    </xf>
    <xf numFmtId="0" fontId="29" fillId="2" borderId="0" xfId="3" applyFont="1" applyFill="1"/>
    <xf numFmtId="0" fontId="28" fillId="2" borderId="0" xfId="3" applyFont="1" applyFill="1"/>
    <xf numFmtId="2" fontId="28" fillId="2" borderId="0" xfId="3" applyNumberFormat="1" applyFont="1" applyFill="1" applyAlignment="1">
      <alignment horizontal="center"/>
    </xf>
    <xf numFmtId="0" fontId="24" fillId="2" borderId="0" xfId="3" applyFont="1" applyFill="1" applyAlignment="1">
      <alignment horizontal="center"/>
    </xf>
    <xf numFmtId="164" fontId="28" fillId="2" borderId="0" xfId="3" applyNumberFormat="1" applyFont="1" applyFill="1" applyAlignment="1">
      <alignment horizontal="center"/>
    </xf>
    <xf numFmtId="22" fontId="29" fillId="2" borderId="0" xfId="3" applyNumberFormat="1" applyFont="1" applyFill="1"/>
    <xf numFmtId="0" fontId="28" fillId="2" borderId="1" xfId="3" applyFont="1" applyFill="1" applyBorder="1" applyAlignment="1">
      <alignment horizontal="center"/>
    </xf>
    <xf numFmtId="0" fontId="28" fillId="2" borderId="2" xfId="3" applyFont="1" applyFill="1" applyBorder="1" applyAlignment="1">
      <alignment horizontal="center"/>
    </xf>
    <xf numFmtId="0" fontId="29" fillId="2" borderId="3" xfId="3" applyFont="1" applyFill="1" applyBorder="1" applyAlignment="1">
      <alignment horizontal="center"/>
    </xf>
    <xf numFmtId="0" fontId="30" fillId="3" borderId="3" xfId="3" applyFont="1" applyFill="1" applyBorder="1" applyAlignment="1" applyProtection="1">
      <alignment horizontal="center"/>
      <protection locked="0"/>
    </xf>
    <xf numFmtId="2" fontId="30" fillId="3" borderId="3" xfId="3" applyNumberFormat="1" applyFont="1" applyFill="1" applyBorder="1" applyAlignment="1" applyProtection="1">
      <alignment horizontal="center"/>
      <protection locked="0"/>
    </xf>
    <xf numFmtId="2" fontId="30" fillId="3" borderId="4" xfId="3" applyNumberFormat="1" applyFont="1" applyFill="1" applyBorder="1" applyAlignment="1" applyProtection="1">
      <alignment horizontal="center"/>
      <protection locked="0"/>
    </xf>
    <xf numFmtId="0" fontId="30" fillId="3" borderId="5" xfId="3" applyFont="1" applyFill="1" applyBorder="1" applyAlignment="1" applyProtection="1">
      <alignment horizontal="center"/>
      <protection locked="0"/>
    </xf>
    <xf numFmtId="2" fontId="30" fillId="3" borderId="5" xfId="3" applyNumberFormat="1" applyFont="1" applyFill="1" applyBorder="1" applyAlignment="1" applyProtection="1">
      <alignment horizontal="center"/>
      <protection locked="0"/>
    </xf>
    <xf numFmtId="0" fontId="29" fillId="2" borderId="4" xfId="3" applyFont="1" applyFill="1" applyBorder="1"/>
    <xf numFmtId="1" fontId="28" fillId="4" borderId="2" xfId="3" applyNumberFormat="1" applyFont="1" applyFill="1" applyBorder="1" applyAlignment="1">
      <alignment horizontal="center"/>
    </xf>
    <xf numFmtId="1" fontId="28" fillId="4" borderId="1" xfId="3" applyNumberFormat="1" applyFont="1" applyFill="1" applyBorder="1" applyAlignment="1">
      <alignment horizontal="center"/>
    </xf>
    <xf numFmtId="2" fontId="28" fillId="4" borderId="1" xfId="3" applyNumberFormat="1" applyFont="1" applyFill="1" applyBorder="1" applyAlignment="1">
      <alignment horizontal="center"/>
    </xf>
    <xf numFmtId="0" fontId="29" fillId="2" borderId="3" xfId="3" applyFont="1" applyFill="1" applyBorder="1"/>
    <xf numFmtId="10" fontId="28" fillId="5" borderId="1" xfId="3" applyNumberFormat="1" applyFont="1" applyFill="1" applyBorder="1" applyAlignment="1">
      <alignment horizontal="center"/>
    </xf>
    <xf numFmtId="165" fontId="28" fillId="2" borderId="0" xfId="3" applyNumberFormat="1" applyFont="1" applyFill="1" applyAlignment="1">
      <alignment horizontal="center"/>
    </xf>
    <xf numFmtId="0" fontId="29" fillId="2" borderId="6" xfId="3" applyFont="1" applyFill="1" applyBorder="1"/>
    <xf numFmtId="0" fontId="29" fillId="2" borderId="5" xfId="3" applyFont="1" applyFill="1" applyBorder="1"/>
    <xf numFmtId="0" fontId="28" fillId="4" borderId="1" xfId="3" applyFont="1" applyFill="1" applyBorder="1" applyAlignment="1">
      <alignment horizontal="center"/>
    </xf>
    <xf numFmtId="0" fontId="28" fillId="2" borderId="7" xfId="3" applyFont="1" applyFill="1" applyBorder="1" applyAlignment="1">
      <alignment horizontal="center"/>
    </xf>
    <xf numFmtId="0" fontId="29" fillId="2" borderId="7" xfId="3" applyFont="1" applyFill="1" applyBorder="1"/>
    <xf numFmtId="0" fontId="29" fillId="2" borderId="8" xfId="3" applyFont="1" applyFill="1" applyBorder="1"/>
    <xf numFmtId="0" fontId="29" fillId="2" borderId="0" xfId="3" applyFont="1" applyFill="1" applyAlignment="1" applyProtection="1">
      <alignment horizontal="left"/>
      <protection locked="0"/>
    </xf>
    <xf numFmtId="0" fontId="29" fillId="2" borderId="0" xfId="3" applyFont="1" applyFill="1" applyProtection="1">
      <protection locked="0"/>
    </xf>
    <xf numFmtId="2" fontId="28" fillId="2" borderId="0" xfId="3" applyNumberFormat="1" applyFont="1" applyFill="1" applyAlignment="1">
      <alignment horizontal="left"/>
    </xf>
    <xf numFmtId="0" fontId="25" fillId="2" borderId="9" xfId="3" applyFont="1" applyFill="1" applyBorder="1"/>
    <xf numFmtId="0" fontId="25" fillId="2" borderId="0" xfId="3" applyFont="1" applyFill="1" applyAlignment="1">
      <alignment horizontal="center"/>
    </xf>
    <xf numFmtId="10" fontId="25" fillId="2" borderId="9" xfId="3" applyNumberFormat="1" applyFont="1" applyFill="1" applyBorder="1"/>
    <xf numFmtId="0" fontId="23" fillId="2" borderId="0" xfId="3" applyFill="1"/>
    <xf numFmtId="0" fontId="24" fillId="2" borderId="10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/>
    </xf>
    <xf numFmtId="0" fontId="25" fillId="2" borderId="10" xfId="3" applyFont="1" applyFill="1" applyBorder="1" applyAlignment="1">
      <alignment horizontal="center"/>
    </xf>
    <xf numFmtId="0" fontId="24" fillId="2" borderId="0" xfId="3" applyFont="1" applyFill="1" applyAlignment="1">
      <alignment horizontal="right"/>
    </xf>
    <xf numFmtId="0" fontId="25" fillId="2" borderId="7" xfId="3" applyFont="1" applyFill="1" applyBorder="1"/>
    <xf numFmtId="0" fontId="24" fillId="2" borderId="11" xfId="3" applyFont="1" applyFill="1" applyBorder="1"/>
    <xf numFmtId="0" fontId="25" fillId="2" borderId="11" xfId="3" applyFont="1" applyFill="1" applyBorder="1"/>
  </cellXfs>
  <cellStyles count="4">
    <cellStyle name="Normal" xfId="0" builtinId="0"/>
    <cellStyle name="Normal 2" xfId="1"/>
    <cellStyle name="Normal 2 2" xfId="3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workbookViewId="0">
      <selection activeCell="A18" sqref="A18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710937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54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461" t="s">
        <v>0</v>
      </c>
      <c r="B15" s="461"/>
      <c r="C15" s="461"/>
      <c r="D15" s="461"/>
      <c r="E15" s="461"/>
    </row>
    <row r="16" spans="1:6" ht="16.5" customHeight="1" x14ac:dyDescent="0.3">
      <c r="A16" s="419" t="s">
        <v>1</v>
      </c>
      <c r="B16" s="420" t="s">
        <v>2</v>
      </c>
    </row>
    <row r="17" spans="1:6" ht="16.5" customHeight="1" x14ac:dyDescent="0.3">
      <c r="A17" s="421" t="s">
        <v>3</v>
      </c>
      <c r="B17" s="421" t="s">
        <v>5</v>
      </c>
      <c r="D17" s="422"/>
      <c r="E17" s="423"/>
    </row>
    <row r="18" spans="1:6" ht="16.5" customHeight="1" x14ac:dyDescent="0.3">
      <c r="A18" s="424" t="s">
        <v>4</v>
      </c>
      <c r="B18" s="510" t="s">
        <v>129</v>
      </c>
      <c r="C18" s="423"/>
      <c r="D18" s="423"/>
      <c r="E18" s="423"/>
    </row>
    <row r="19" spans="1:6" ht="16.5" customHeight="1" x14ac:dyDescent="0.3">
      <c r="A19" s="424" t="s">
        <v>6</v>
      </c>
      <c r="B19" s="426">
        <v>98.8</v>
      </c>
      <c r="C19" s="423"/>
      <c r="D19" s="423"/>
      <c r="E19" s="423"/>
    </row>
    <row r="20" spans="1:6" ht="16.5" customHeight="1" x14ac:dyDescent="0.3">
      <c r="A20" s="421" t="s">
        <v>8</v>
      </c>
      <c r="B20" s="425">
        <v>17</v>
      </c>
      <c r="C20" s="423"/>
      <c r="D20" s="423"/>
      <c r="E20" s="423"/>
    </row>
    <row r="21" spans="1:6" ht="16.5" customHeight="1" x14ac:dyDescent="0.3">
      <c r="A21" s="421" t="s">
        <v>10</v>
      </c>
      <c r="B21" s="427">
        <f>B20/50*10/25</f>
        <v>0.13600000000000001</v>
      </c>
      <c r="C21" s="423"/>
      <c r="D21" s="423"/>
      <c r="E21" s="423"/>
    </row>
    <row r="22" spans="1:6" ht="15.75" customHeight="1" x14ac:dyDescent="0.25">
      <c r="A22" s="423"/>
      <c r="B22" s="428">
        <v>42506.64707175926</v>
      </c>
      <c r="C22" s="423"/>
      <c r="D22" s="423"/>
      <c r="E22" s="423"/>
    </row>
    <row r="23" spans="1:6" ht="16.5" customHeight="1" x14ac:dyDescent="0.3">
      <c r="A23" s="429" t="s">
        <v>13</v>
      </c>
      <c r="B23" s="430" t="s">
        <v>14</v>
      </c>
      <c r="C23" s="429" t="s">
        <v>15</v>
      </c>
      <c r="D23" s="429" t="s">
        <v>16</v>
      </c>
      <c r="E23" s="429" t="s">
        <v>17</v>
      </c>
      <c r="F23" s="429" t="s">
        <v>130</v>
      </c>
    </row>
    <row r="24" spans="1:6" ht="16.5" customHeight="1" x14ac:dyDescent="0.3">
      <c r="A24" s="431">
        <v>1</v>
      </c>
      <c r="B24" s="432">
        <v>28058888</v>
      </c>
      <c r="C24" s="432">
        <v>9434</v>
      </c>
      <c r="D24" s="433">
        <v>1.1000000000000001</v>
      </c>
      <c r="E24" s="434">
        <v>6.3</v>
      </c>
      <c r="F24" s="434">
        <v>17</v>
      </c>
    </row>
    <row r="25" spans="1:6" ht="16.5" customHeight="1" x14ac:dyDescent="0.3">
      <c r="A25" s="431">
        <v>2</v>
      </c>
      <c r="B25" s="432">
        <v>28147179</v>
      </c>
      <c r="C25" s="432">
        <v>9388.9</v>
      </c>
      <c r="D25" s="433">
        <v>1.1000000000000001</v>
      </c>
      <c r="E25" s="433">
        <v>6.3</v>
      </c>
      <c r="F25" s="433">
        <v>16.899999999999999</v>
      </c>
    </row>
    <row r="26" spans="1:6" ht="16.5" customHeight="1" x14ac:dyDescent="0.3">
      <c r="A26" s="431">
        <v>3</v>
      </c>
      <c r="B26" s="432">
        <v>28096999</v>
      </c>
      <c r="C26" s="432">
        <v>9414.5</v>
      </c>
      <c r="D26" s="433">
        <v>1.1000000000000001</v>
      </c>
      <c r="E26" s="433">
        <v>6.3</v>
      </c>
      <c r="F26" s="433">
        <v>17</v>
      </c>
    </row>
    <row r="27" spans="1:6" ht="16.5" customHeight="1" x14ac:dyDescent="0.3">
      <c r="A27" s="431">
        <v>4</v>
      </c>
      <c r="B27" s="432">
        <v>27951053</v>
      </c>
      <c r="C27" s="432">
        <v>9420.6</v>
      </c>
      <c r="D27" s="433">
        <v>1.1000000000000001</v>
      </c>
      <c r="E27" s="433">
        <v>6.3</v>
      </c>
      <c r="F27" s="433">
        <v>17</v>
      </c>
    </row>
    <row r="28" spans="1:6" ht="16.5" customHeight="1" x14ac:dyDescent="0.3">
      <c r="A28" s="431">
        <v>5</v>
      </c>
      <c r="B28" s="432">
        <v>28095182</v>
      </c>
      <c r="C28" s="432">
        <v>9502.1</v>
      </c>
      <c r="D28" s="433">
        <v>1.1000000000000001</v>
      </c>
      <c r="E28" s="433">
        <v>6.3</v>
      </c>
      <c r="F28" s="433">
        <v>17</v>
      </c>
    </row>
    <row r="29" spans="1:6" ht="16.5" customHeight="1" x14ac:dyDescent="0.3">
      <c r="A29" s="431">
        <v>6</v>
      </c>
      <c r="B29" s="435">
        <v>28077619</v>
      </c>
      <c r="C29" s="435">
        <v>9487.2999999999993</v>
      </c>
      <c r="D29" s="436">
        <v>1.1000000000000001</v>
      </c>
      <c r="E29" s="436">
        <v>6.3</v>
      </c>
      <c r="F29" s="436">
        <v>17</v>
      </c>
    </row>
    <row r="30" spans="1:6" ht="16.5" customHeight="1" x14ac:dyDescent="0.3">
      <c r="A30" s="437" t="s">
        <v>18</v>
      </c>
      <c r="B30" s="438">
        <f>AVERAGE(B24:B29)</f>
        <v>28071153.333333332</v>
      </c>
      <c r="C30" s="439">
        <f>AVERAGE(C24:C29)</f>
        <v>9441.2333333333318</v>
      </c>
      <c r="D30" s="440">
        <f>AVERAGE(D24:D29)</f>
        <v>1.0999999999999999</v>
      </c>
      <c r="E30" s="440">
        <f>AVERAGE(E24:E29)</f>
        <v>6.3</v>
      </c>
      <c r="F30" s="440">
        <f>AVERAGE(F24:F29)</f>
        <v>16.983333333333334</v>
      </c>
    </row>
    <row r="31" spans="1:6" ht="16.5" customHeight="1" x14ac:dyDescent="0.3">
      <c r="A31" s="441" t="s">
        <v>19</v>
      </c>
      <c r="B31" s="442">
        <f>(STDEV(B24:B29)/B30)</f>
        <v>2.3436865664604625E-3</v>
      </c>
      <c r="C31" s="443"/>
      <c r="D31" s="443"/>
      <c r="E31" s="444"/>
      <c r="F31" s="444"/>
    </row>
    <row r="32" spans="1:6" s="417" customFormat="1" ht="16.5" customHeight="1" x14ac:dyDescent="0.3">
      <c r="A32" s="445" t="s">
        <v>20</v>
      </c>
      <c r="B32" s="446">
        <f>COUNT(B24:B29)</f>
        <v>6</v>
      </c>
      <c r="C32" s="447"/>
      <c r="D32" s="448"/>
      <c r="E32" s="449"/>
      <c r="F32" s="449"/>
    </row>
    <row r="33" spans="1:6" s="417" customFormat="1" ht="15.75" customHeight="1" x14ac:dyDescent="0.25">
      <c r="A33" s="423"/>
      <c r="B33" s="423"/>
      <c r="C33" s="423"/>
      <c r="D33" s="423"/>
      <c r="E33" s="423"/>
    </row>
    <row r="34" spans="1:6" s="417" customFormat="1" ht="16.5" customHeight="1" x14ac:dyDescent="0.3">
      <c r="A34" s="424" t="s">
        <v>21</v>
      </c>
      <c r="B34" s="450" t="s">
        <v>122</v>
      </c>
      <c r="C34" s="451"/>
      <c r="D34" s="451"/>
      <c r="E34" s="451"/>
    </row>
    <row r="35" spans="1:6" ht="16.5" customHeight="1" x14ac:dyDescent="0.3">
      <c r="A35" s="424"/>
      <c r="B35" s="450" t="s">
        <v>123</v>
      </c>
      <c r="C35" s="451"/>
      <c r="D35" s="451"/>
      <c r="E35" s="451"/>
    </row>
    <row r="36" spans="1:6" ht="16.5" customHeight="1" x14ac:dyDescent="0.3">
      <c r="A36" s="424"/>
      <c r="B36" s="450" t="s">
        <v>124</v>
      </c>
      <c r="C36" s="451"/>
      <c r="D36" s="451"/>
      <c r="E36" s="451"/>
    </row>
    <row r="37" spans="1:6" ht="15.75" customHeight="1" x14ac:dyDescent="0.3">
      <c r="A37" s="423"/>
      <c r="B37" s="423" t="s">
        <v>131</v>
      </c>
      <c r="C37" s="423"/>
      <c r="D37" s="423"/>
      <c r="E37" s="423"/>
    </row>
    <row r="38" spans="1:6" ht="15.75" customHeight="1" x14ac:dyDescent="0.25">
      <c r="A38" s="423"/>
      <c r="B38" s="423"/>
      <c r="C38" s="423"/>
      <c r="D38" s="423"/>
      <c r="E38" s="423"/>
    </row>
    <row r="39" spans="1:6" ht="16.5" customHeight="1" x14ac:dyDescent="0.3">
      <c r="A39" s="419" t="s">
        <v>1</v>
      </c>
      <c r="B39" s="420" t="s">
        <v>22</v>
      </c>
    </row>
    <row r="40" spans="1:6" ht="16.5" customHeight="1" x14ac:dyDescent="0.3">
      <c r="A40" s="424" t="s">
        <v>4</v>
      </c>
      <c r="B40" s="510" t="str">
        <f>B18</f>
        <v>Tenofovir Disoproxil Fumarate</v>
      </c>
      <c r="C40" s="423"/>
      <c r="D40" s="423"/>
      <c r="E40" s="423"/>
    </row>
    <row r="41" spans="1:6" ht="16.5" customHeight="1" x14ac:dyDescent="0.3">
      <c r="A41" s="424" t="s">
        <v>6</v>
      </c>
      <c r="B41" s="425">
        <v>98.8</v>
      </c>
      <c r="C41" s="423"/>
      <c r="D41" s="423"/>
      <c r="E41" s="423"/>
    </row>
    <row r="42" spans="1:6" ht="16.5" customHeight="1" x14ac:dyDescent="0.3">
      <c r="A42" s="421" t="s">
        <v>8</v>
      </c>
      <c r="B42" s="425">
        <v>17</v>
      </c>
      <c r="C42" s="423"/>
      <c r="D42" s="423"/>
      <c r="E42" s="423"/>
    </row>
    <row r="43" spans="1:6" ht="16.5" customHeight="1" x14ac:dyDescent="0.3">
      <c r="A43" s="421" t="s">
        <v>10</v>
      </c>
      <c r="B43" s="427">
        <f>B42/50</f>
        <v>0.34</v>
      </c>
      <c r="C43" s="423"/>
      <c r="D43" s="423"/>
      <c r="E43" s="423"/>
    </row>
    <row r="44" spans="1:6" ht="15.75" customHeight="1" x14ac:dyDescent="0.25">
      <c r="A44" s="423"/>
      <c r="B44" s="423"/>
      <c r="C44" s="423"/>
      <c r="D44" s="423"/>
      <c r="E44" s="423"/>
    </row>
    <row r="45" spans="1:6" ht="16.5" customHeight="1" x14ac:dyDescent="0.3">
      <c r="A45" s="429" t="s">
        <v>13</v>
      </c>
      <c r="B45" s="430" t="s">
        <v>14</v>
      </c>
      <c r="C45" s="429" t="s">
        <v>15</v>
      </c>
      <c r="D45" s="429" t="s">
        <v>16</v>
      </c>
      <c r="E45" s="429" t="s">
        <v>17</v>
      </c>
      <c r="F45" s="429" t="s">
        <v>130</v>
      </c>
    </row>
    <row r="46" spans="1:6" ht="16.5" customHeight="1" x14ac:dyDescent="0.3">
      <c r="A46" s="431">
        <v>1</v>
      </c>
      <c r="B46" s="432">
        <v>89609824</v>
      </c>
      <c r="C46" s="432">
        <v>8450.11</v>
      </c>
      <c r="D46" s="433">
        <v>1.1299999999999999</v>
      </c>
      <c r="E46" s="434">
        <v>4.96</v>
      </c>
      <c r="F46" s="434">
        <v>13.44</v>
      </c>
    </row>
    <row r="47" spans="1:6" ht="16.5" customHeight="1" x14ac:dyDescent="0.3">
      <c r="A47" s="431">
        <v>2</v>
      </c>
      <c r="B47" s="432">
        <v>89798514</v>
      </c>
      <c r="C47" s="432">
        <v>8446.69</v>
      </c>
      <c r="D47" s="433">
        <v>1.1200000000000001</v>
      </c>
      <c r="E47" s="433">
        <v>4.96</v>
      </c>
      <c r="F47" s="433">
        <v>13.45</v>
      </c>
    </row>
    <row r="48" spans="1:6" ht="16.5" customHeight="1" x14ac:dyDescent="0.3">
      <c r="A48" s="431">
        <v>3</v>
      </c>
      <c r="B48" s="432">
        <v>90280958</v>
      </c>
      <c r="C48" s="432">
        <v>8399.2199999999993</v>
      </c>
      <c r="D48" s="433">
        <v>1.1200000000000001</v>
      </c>
      <c r="E48" s="433">
        <v>4.96</v>
      </c>
      <c r="F48" s="433">
        <v>13.46</v>
      </c>
    </row>
    <row r="49" spans="1:7" ht="16.5" customHeight="1" x14ac:dyDescent="0.3">
      <c r="A49" s="431">
        <v>4</v>
      </c>
      <c r="B49" s="432">
        <v>88989886</v>
      </c>
      <c r="C49" s="432">
        <v>8458.7900000000009</v>
      </c>
      <c r="D49" s="433">
        <v>1.1100000000000001</v>
      </c>
      <c r="E49" s="433">
        <v>4.96</v>
      </c>
      <c r="F49" s="433">
        <v>13.47</v>
      </c>
    </row>
    <row r="50" spans="1:7" ht="16.5" customHeight="1" x14ac:dyDescent="0.3">
      <c r="A50" s="431">
        <v>5</v>
      </c>
      <c r="B50" s="432">
        <v>89358910</v>
      </c>
      <c r="C50" s="432">
        <v>8420.44</v>
      </c>
      <c r="D50" s="433">
        <v>1.1399999999999999</v>
      </c>
      <c r="E50" s="433">
        <v>4.96</v>
      </c>
      <c r="F50" s="433">
        <v>13.45</v>
      </c>
    </row>
    <row r="51" spans="1:7" ht="16.5" customHeight="1" x14ac:dyDescent="0.3">
      <c r="A51" s="431">
        <v>6</v>
      </c>
      <c r="B51" s="435">
        <v>89519098</v>
      </c>
      <c r="C51" s="435">
        <v>8420.9599999999991</v>
      </c>
      <c r="D51" s="436">
        <v>1.1299999999999999</v>
      </c>
      <c r="E51" s="436">
        <v>4.96</v>
      </c>
      <c r="F51" s="436">
        <v>13.46</v>
      </c>
    </row>
    <row r="52" spans="1:7" ht="16.5" customHeight="1" x14ac:dyDescent="0.3">
      <c r="A52" s="437" t="s">
        <v>18</v>
      </c>
      <c r="B52" s="438">
        <f>AVERAGE(B46:B51)</f>
        <v>89592865</v>
      </c>
      <c r="C52" s="439">
        <f>AVERAGE(C46:C51)</f>
        <v>8432.7016666666677</v>
      </c>
      <c r="D52" s="440">
        <f>AVERAGE(D46:D51)</f>
        <v>1.125</v>
      </c>
      <c r="E52" s="440">
        <f>AVERAGE(E46:E51)</f>
        <v>4.96</v>
      </c>
      <c r="F52" s="440">
        <f>AVERAGE(F46:F51)</f>
        <v>13.454999999999998</v>
      </c>
    </row>
    <row r="53" spans="1:7" ht="16.5" customHeight="1" x14ac:dyDescent="0.3">
      <c r="A53" s="441" t="s">
        <v>19</v>
      </c>
      <c r="B53" s="442">
        <f>(STDEV(B46:B51)/B52)</f>
        <v>4.8390699537698197E-3</v>
      </c>
      <c r="C53" s="443"/>
      <c r="D53" s="443"/>
      <c r="E53" s="444"/>
      <c r="F53" s="444"/>
    </row>
    <row r="54" spans="1:7" s="417" customFormat="1" ht="16.5" customHeight="1" x14ac:dyDescent="0.3">
      <c r="A54" s="445" t="s">
        <v>20</v>
      </c>
      <c r="B54" s="446">
        <f>COUNT(B46:B51)</f>
        <v>6</v>
      </c>
      <c r="C54" s="447"/>
      <c r="D54" s="448"/>
      <c r="E54" s="449"/>
      <c r="F54" s="449"/>
    </row>
    <row r="55" spans="1:7" s="417" customFormat="1" ht="15.75" customHeight="1" x14ac:dyDescent="0.25">
      <c r="A55" s="423"/>
      <c r="B55" s="423"/>
      <c r="C55" s="423"/>
      <c r="D55" s="423"/>
      <c r="E55" s="423"/>
    </row>
    <row r="56" spans="1:7" s="417" customFormat="1" ht="16.5" customHeight="1" x14ac:dyDescent="0.3">
      <c r="A56" s="424" t="s">
        <v>21</v>
      </c>
      <c r="B56" s="450" t="s">
        <v>122</v>
      </c>
      <c r="C56" s="451"/>
      <c r="D56" s="451"/>
      <c r="E56" s="451"/>
    </row>
    <row r="57" spans="1:7" ht="16.5" customHeight="1" x14ac:dyDescent="0.3">
      <c r="A57" s="424"/>
      <c r="B57" s="450" t="s">
        <v>123</v>
      </c>
      <c r="C57" s="451"/>
      <c r="D57" s="451"/>
      <c r="E57" s="451"/>
    </row>
    <row r="58" spans="1:7" ht="16.5" customHeight="1" x14ac:dyDescent="0.3">
      <c r="A58" s="424"/>
      <c r="B58" s="450" t="s">
        <v>124</v>
      </c>
      <c r="C58" s="451"/>
      <c r="D58" s="451"/>
      <c r="E58" s="451"/>
    </row>
    <row r="59" spans="1:7" ht="14.25" customHeight="1" thickBot="1" x14ac:dyDescent="0.35">
      <c r="A59" s="452"/>
      <c r="B59" s="423" t="s">
        <v>131</v>
      </c>
      <c r="D59" s="453"/>
      <c r="F59" s="454"/>
      <c r="G59" s="454"/>
    </row>
    <row r="60" spans="1:7" ht="15" customHeight="1" x14ac:dyDescent="0.3">
      <c r="B60" s="462" t="s">
        <v>23</v>
      </c>
      <c r="C60" s="462"/>
      <c r="E60" s="460" t="s">
        <v>24</v>
      </c>
      <c r="F60" s="455"/>
      <c r="G60" s="460" t="s">
        <v>25</v>
      </c>
    </row>
    <row r="61" spans="1:7" ht="15" customHeight="1" x14ac:dyDescent="0.3">
      <c r="A61" s="456" t="s">
        <v>26</v>
      </c>
      <c r="B61" s="457"/>
      <c r="C61" s="457"/>
      <c r="E61" s="457"/>
      <c r="G61" s="457"/>
    </row>
    <row r="62" spans="1:7" ht="15" customHeight="1" x14ac:dyDescent="0.3">
      <c r="A62" s="456" t="s">
        <v>27</v>
      </c>
      <c r="B62" s="458"/>
      <c r="C62" s="458"/>
      <c r="E62" s="458"/>
      <c r="G62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4" workbookViewId="0">
      <selection activeCell="B41" sqref="B41"/>
    </sheetView>
  </sheetViews>
  <sheetFormatPr defaultRowHeight="13.5" x14ac:dyDescent="0.25"/>
  <cols>
    <col min="1" max="1" width="27.5703125" style="512" customWidth="1"/>
    <col min="2" max="2" width="20.42578125" style="512" customWidth="1"/>
    <col min="3" max="3" width="31.85546875" style="512" customWidth="1"/>
    <col min="4" max="4" width="25.85546875" style="512" customWidth="1"/>
    <col min="5" max="5" width="25.7109375" style="512" customWidth="1"/>
    <col min="6" max="6" width="23.140625" style="512" customWidth="1"/>
    <col min="7" max="7" width="28.42578125" style="512" customWidth="1"/>
    <col min="8" max="8" width="21.5703125" style="512" customWidth="1"/>
    <col min="9" max="9" width="9.140625" style="512" customWidth="1"/>
    <col min="10" max="16384" width="9.140625" style="552"/>
  </cols>
  <sheetData>
    <row r="14" spans="1:6" ht="15" customHeight="1" x14ac:dyDescent="0.3">
      <c r="A14" s="511"/>
      <c r="C14" s="513"/>
      <c r="F14" s="513"/>
    </row>
    <row r="15" spans="1:6" ht="18.75" customHeight="1" x14ac:dyDescent="0.3">
      <c r="A15" s="514" t="s">
        <v>0</v>
      </c>
      <c r="B15" s="514"/>
      <c r="C15" s="514"/>
      <c r="D15" s="514"/>
      <c r="E15" s="514"/>
    </row>
    <row r="16" spans="1:6" ht="16.5" customHeight="1" x14ac:dyDescent="0.3">
      <c r="A16" s="515" t="s">
        <v>1</v>
      </c>
      <c r="B16" s="516" t="s">
        <v>2</v>
      </c>
    </row>
    <row r="17" spans="1:5" ht="16.5" customHeight="1" x14ac:dyDescent="0.3">
      <c r="A17" s="517" t="s">
        <v>3</v>
      </c>
      <c r="B17" s="517" t="s">
        <v>5</v>
      </c>
      <c r="D17" s="518"/>
      <c r="E17" s="519"/>
    </row>
    <row r="18" spans="1:5" ht="16.5" customHeight="1" x14ac:dyDescent="0.3">
      <c r="A18" s="520" t="s">
        <v>4</v>
      </c>
      <c r="B18" s="521" t="s">
        <v>125</v>
      </c>
      <c r="C18" s="519"/>
      <c r="D18" s="519"/>
      <c r="E18" s="519"/>
    </row>
    <row r="19" spans="1:5" ht="16.5" customHeight="1" x14ac:dyDescent="0.3">
      <c r="A19" s="520" t="s">
        <v>6</v>
      </c>
      <c r="B19" s="522">
        <v>101.74</v>
      </c>
      <c r="C19" s="519"/>
      <c r="D19" s="519"/>
      <c r="E19" s="519"/>
    </row>
    <row r="20" spans="1:5" ht="16.5" customHeight="1" x14ac:dyDescent="0.3">
      <c r="A20" s="517" t="s">
        <v>8</v>
      </c>
      <c r="B20" s="521">
        <v>18.79</v>
      </c>
      <c r="C20" s="519"/>
      <c r="D20" s="519"/>
      <c r="E20" s="519"/>
    </row>
    <row r="21" spans="1:5" ht="16.5" customHeight="1" x14ac:dyDescent="0.3">
      <c r="A21" s="517" t="s">
        <v>10</v>
      </c>
      <c r="B21" s="523">
        <f>B20/20*3/25</f>
        <v>0.11274000000000001</v>
      </c>
      <c r="C21" s="519"/>
      <c r="D21" s="519"/>
      <c r="E21" s="519"/>
    </row>
    <row r="22" spans="1:5" ht="15.75" customHeight="1" x14ac:dyDescent="0.25">
      <c r="A22" s="519"/>
      <c r="B22" s="524">
        <v>42506.64707175926</v>
      </c>
      <c r="C22" s="519"/>
      <c r="D22" s="519"/>
      <c r="E22" s="519"/>
    </row>
    <row r="23" spans="1:5" ht="16.5" customHeight="1" x14ac:dyDescent="0.3">
      <c r="A23" s="525" t="s">
        <v>13</v>
      </c>
      <c r="B23" s="526" t="s">
        <v>14</v>
      </c>
      <c r="C23" s="525" t="s">
        <v>15</v>
      </c>
      <c r="D23" s="525" t="s">
        <v>16</v>
      </c>
      <c r="E23" s="525" t="s">
        <v>17</v>
      </c>
    </row>
    <row r="24" spans="1:5" ht="16.5" customHeight="1" x14ac:dyDescent="0.3">
      <c r="A24" s="527">
        <v>1</v>
      </c>
      <c r="B24" s="528">
        <v>38771216</v>
      </c>
      <c r="C24" s="528">
        <v>7627.2</v>
      </c>
      <c r="D24" s="529">
        <v>1.1000000000000001</v>
      </c>
      <c r="E24" s="530">
        <v>2.9</v>
      </c>
    </row>
    <row r="25" spans="1:5" ht="16.5" customHeight="1" x14ac:dyDescent="0.3">
      <c r="A25" s="527">
        <v>2</v>
      </c>
      <c r="B25" s="528">
        <v>38899572</v>
      </c>
      <c r="C25" s="528">
        <v>7581</v>
      </c>
      <c r="D25" s="529">
        <v>1.1000000000000001</v>
      </c>
      <c r="E25" s="529">
        <v>2.9</v>
      </c>
    </row>
    <row r="26" spans="1:5" ht="16.5" customHeight="1" x14ac:dyDescent="0.3">
      <c r="A26" s="527">
        <v>3</v>
      </c>
      <c r="B26" s="528">
        <v>38806606</v>
      </c>
      <c r="C26" s="528">
        <v>7611.6</v>
      </c>
      <c r="D26" s="529">
        <v>1.1000000000000001</v>
      </c>
      <c r="E26" s="529">
        <v>2.9</v>
      </c>
    </row>
    <row r="27" spans="1:5" ht="16.5" customHeight="1" x14ac:dyDescent="0.3">
      <c r="A27" s="527">
        <v>4</v>
      </c>
      <c r="B27" s="528">
        <v>38618184</v>
      </c>
      <c r="C27" s="528">
        <v>7600.1</v>
      </c>
      <c r="D27" s="529">
        <v>1.1000000000000001</v>
      </c>
      <c r="E27" s="529">
        <v>2.9</v>
      </c>
    </row>
    <row r="28" spans="1:5" ht="16.5" customHeight="1" x14ac:dyDescent="0.3">
      <c r="A28" s="527">
        <v>5</v>
      </c>
      <c r="B28" s="528">
        <v>38811603</v>
      </c>
      <c r="C28" s="528">
        <v>7604.8</v>
      </c>
      <c r="D28" s="529">
        <v>1.1000000000000001</v>
      </c>
      <c r="E28" s="529">
        <v>2.9</v>
      </c>
    </row>
    <row r="29" spans="1:5" ht="16.5" customHeight="1" x14ac:dyDescent="0.3">
      <c r="A29" s="527">
        <v>6</v>
      </c>
      <c r="B29" s="531">
        <v>38790710</v>
      </c>
      <c r="C29" s="531">
        <v>7590.1</v>
      </c>
      <c r="D29" s="532">
        <v>1.1000000000000001</v>
      </c>
      <c r="E29" s="532">
        <v>2.9</v>
      </c>
    </row>
    <row r="30" spans="1:5" ht="16.5" customHeight="1" x14ac:dyDescent="0.3">
      <c r="A30" s="533" t="s">
        <v>18</v>
      </c>
      <c r="B30" s="534">
        <f>AVERAGE(B24:B29)</f>
        <v>38782981.833333336</v>
      </c>
      <c r="C30" s="535">
        <f>AVERAGE(C24:C29)</f>
        <v>7602.4666666666672</v>
      </c>
      <c r="D30" s="536">
        <f>AVERAGE(D24:D29)</f>
        <v>1.0999999999999999</v>
      </c>
      <c r="E30" s="536">
        <f>AVERAGE(E24:E29)</f>
        <v>2.9</v>
      </c>
    </row>
    <row r="31" spans="1:5" ht="16.5" customHeight="1" x14ac:dyDescent="0.3">
      <c r="A31" s="537" t="s">
        <v>19</v>
      </c>
      <c r="B31" s="538">
        <f>(STDEV(B24:B29)/B30)</f>
        <v>2.3723713555464797E-3</v>
      </c>
      <c r="C31" s="539"/>
      <c r="D31" s="539"/>
      <c r="E31" s="540"/>
    </row>
    <row r="32" spans="1:5" s="512" customFormat="1" ht="16.5" customHeight="1" x14ac:dyDescent="0.3">
      <c r="A32" s="541" t="s">
        <v>20</v>
      </c>
      <c r="B32" s="542">
        <f>COUNT(B24:B29)</f>
        <v>6</v>
      </c>
      <c r="C32" s="543"/>
      <c r="D32" s="544"/>
      <c r="E32" s="545"/>
    </row>
    <row r="33" spans="1:5" s="512" customFormat="1" ht="15.75" customHeight="1" x14ac:dyDescent="0.25">
      <c r="A33" s="519"/>
      <c r="B33" s="519"/>
      <c r="C33" s="519"/>
      <c r="D33" s="519"/>
      <c r="E33" s="519"/>
    </row>
    <row r="34" spans="1:5" s="512" customFormat="1" ht="16.5" customHeight="1" x14ac:dyDescent="0.3">
      <c r="A34" s="520" t="s">
        <v>21</v>
      </c>
      <c r="B34" s="546" t="s">
        <v>122</v>
      </c>
      <c r="C34" s="547"/>
      <c r="D34" s="547"/>
      <c r="E34" s="547"/>
    </row>
    <row r="35" spans="1:5" ht="16.5" customHeight="1" x14ac:dyDescent="0.3">
      <c r="A35" s="520"/>
      <c r="B35" s="546" t="s">
        <v>123</v>
      </c>
      <c r="C35" s="547"/>
      <c r="D35" s="547"/>
      <c r="E35" s="547"/>
    </row>
    <row r="36" spans="1:5" ht="16.5" customHeight="1" x14ac:dyDescent="0.3">
      <c r="A36" s="520"/>
      <c r="B36" s="546" t="s">
        <v>124</v>
      </c>
      <c r="C36" s="547"/>
      <c r="D36" s="547"/>
      <c r="E36" s="547"/>
    </row>
    <row r="37" spans="1:5" ht="15.75" customHeight="1" x14ac:dyDescent="0.25">
      <c r="A37" s="519"/>
      <c r="B37" s="519"/>
      <c r="C37" s="519"/>
      <c r="D37" s="519"/>
      <c r="E37" s="519"/>
    </row>
    <row r="38" spans="1:5" ht="16.5" customHeight="1" x14ac:dyDescent="0.3">
      <c r="A38" s="515" t="s">
        <v>1</v>
      </c>
      <c r="B38" s="516" t="s">
        <v>22</v>
      </c>
    </row>
    <row r="39" spans="1:5" ht="16.5" customHeight="1" x14ac:dyDescent="0.3">
      <c r="A39" s="520" t="s">
        <v>4</v>
      </c>
      <c r="B39" s="548" t="str">
        <f>B18</f>
        <v>Lamivudine</v>
      </c>
      <c r="C39" s="519"/>
      <c r="D39" s="519"/>
      <c r="E39" s="519"/>
    </row>
    <row r="40" spans="1:5" ht="16.5" customHeight="1" x14ac:dyDescent="0.3">
      <c r="A40" s="520" t="s">
        <v>6</v>
      </c>
      <c r="B40" s="521">
        <v>101.74</v>
      </c>
      <c r="C40" s="519"/>
      <c r="D40" s="519"/>
      <c r="E40" s="519"/>
    </row>
    <row r="41" spans="1:5" ht="16.5" customHeight="1" x14ac:dyDescent="0.3">
      <c r="A41" s="517" t="s">
        <v>8</v>
      </c>
      <c r="B41" s="521">
        <v>18.79</v>
      </c>
      <c r="C41" s="519"/>
      <c r="D41" s="519"/>
      <c r="E41" s="519"/>
    </row>
    <row r="42" spans="1:5" ht="16.5" customHeight="1" x14ac:dyDescent="0.3">
      <c r="A42" s="517" t="s">
        <v>10</v>
      </c>
      <c r="B42" s="523">
        <f>B41/50</f>
        <v>0.37579999999999997</v>
      </c>
      <c r="C42" s="519"/>
      <c r="D42" s="519"/>
      <c r="E42" s="519"/>
    </row>
    <row r="43" spans="1:5" ht="15.75" customHeight="1" x14ac:dyDescent="0.25">
      <c r="A43" s="519"/>
      <c r="B43" s="519"/>
      <c r="C43" s="519"/>
      <c r="D43" s="519"/>
      <c r="E43" s="519"/>
    </row>
    <row r="44" spans="1:5" ht="16.5" customHeight="1" x14ac:dyDescent="0.3">
      <c r="A44" s="525" t="s">
        <v>13</v>
      </c>
      <c r="B44" s="526" t="s">
        <v>14</v>
      </c>
      <c r="C44" s="525" t="s">
        <v>15</v>
      </c>
      <c r="D44" s="525" t="s">
        <v>16</v>
      </c>
      <c r="E44" s="525" t="s">
        <v>17</v>
      </c>
    </row>
    <row r="45" spans="1:5" ht="16.5" customHeight="1" x14ac:dyDescent="0.3">
      <c r="A45" s="527">
        <v>1</v>
      </c>
      <c r="B45" s="528">
        <v>119785495</v>
      </c>
      <c r="C45" s="528">
        <v>7087.97</v>
      </c>
      <c r="D45" s="529">
        <v>1.1299999999999999</v>
      </c>
      <c r="E45" s="530">
        <v>2.65</v>
      </c>
    </row>
    <row r="46" spans="1:5" ht="16.5" customHeight="1" x14ac:dyDescent="0.3">
      <c r="A46" s="527">
        <v>2</v>
      </c>
      <c r="B46" s="528">
        <v>120019480</v>
      </c>
      <c r="C46" s="528">
        <v>7064</v>
      </c>
      <c r="D46" s="529">
        <v>1.17</v>
      </c>
      <c r="E46" s="529">
        <v>2.65</v>
      </c>
    </row>
    <row r="47" spans="1:5" ht="16.5" customHeight="1" x14ac:dyDescent="0.3">
      <c r="A47" s="527">
        <v>3</v>
      </c>
      <c r="B47" s="528">
        <v>120428139</v>
      </c>
      <c r="C47" s="528">
        <v>7046.19</v>
      </c>
      <c r="D47" s="529">
        <v>1.1499999999999999</v>
      </c>
      <c r="E47" s="529">
        <v>2.65</v>
      </c>
    </row>
    <row r="48" spans="1:5" ht="16.5" customHeight="1" x14ac:dyDescent="0.3">
      <c r="A48" s="527">
        <v>4</v>
      </c>
      <c r="B48" s="528">
        <v>119307793</v>
      </c>
      <c r="C48" s="528">
        <v>7130.11</v>
      </c>
      <c r="D48" s="529">
        <v>1.1299999999999999</v>
      </c>
      <c r="E48" s="529">
        <v>2.65</v>
      </c>
    </row>
    <row r="49" spans="1:7" ht="16.5" customHeight="1" x14ac:dyDescent="0.3">
      <c r="A49" s="527">
        <v>5</v>
      </c>
      <c r="B49" s="528">
        <v>119654819</v>
      </c>
      <c r="C49" s="528">
        <v>7107.29</v>
      </c>
      <c r="D49" s="529">
        <v>1.1599999999999999</v>
      </c>
      <c r="E49" s="529">
        <v>2.65</v>
      </c>
    </row>
    <row r="50" spans="1:7" ht="16.5" customHeight="1" x14ac:dyDescent="0.3">
      <c r="A50" s="527">
        <v>6</v>
      </c>
      <c r="B50" s="531">
        <v>119795685</v>
      </c>
      <c r="C50" s="531">
        <v>7085.51</v>
      </c>
      <c r="D50" s="532">
        <v>1.17</v>
      </c>
      <c r="E50" s="532">
        <v>2.65</v>
      </c>
    </row>
    <row r="51" spans="1:7" ht="16.5" customHeight="1" x14ac:dyDescent="0.3">
      <c r="A51" s="533" t="s">
        <v>18</v>
      </c>
      <c r="B51" s="534">
        <f>AVERAGE(B45:B50)</f>
        <v>119831901.83333333</v>
      </c>
      <c r="C51" s="535">
        <f>AVERAGE(C45:C50)</f>
        <v>7086.8450000000003</v>
      </c>
      <c r="D51" s="536">
        <f>AVERAGE(D45:D50)</f>
        <v>1.1516666666666666</v>
      </c>
      <c r="E51" s="536">
        <f>AVERAGE(E45:E50)</f>
        <v>2.65</v>
      </c>
    </row>
    <row r="52" spans="1:7" ht="16.5" customHeight="1" x14ac:dyDescent="0.3">
      <c r="A52" s="537" t="s">
        <v>19</v>
      </c>
      <c r="B52" s="538">
        <f>(STDEV(B45:B50)/B51)</f>
        <v>3.1228632903939051E-3</v>
      </c>
      <c r="C52" s="539"/>
      <c r="D52" s="539"/>
      <c r="E52" s="540"/>
    </row>
    <row r="53" spans="1:7" s="512" customFormat="1" ht="16.5" customHeight="1" x14ac:dyDescent="0.3">
      <c r="A53" s="541" t="s">
        <v>20</v>
      </c>
      <c r="B53" s="542">
        <f>COUNT(B45:B50)</f>
        <v>6</v>
      </c>
      <c r="C53" s="543"/>
      <c r="D53" s="544"/>
      <c r="E53" s="545"/>
    </row>
    <row r="54" spans="1:7" s="512" customFormat="1" ht="15.75" customHeight="1" x14ac:dyDescent="0.25">
      <c r="A54" s="519"/>
      <c r="B54" s="519"/>
      <c r="C54" s="519"/>
      <c r="D54" s="519"/>
      <c r="E54" s="519"/>
    </row>
    <row r="55" spans="1:7" s="512" customFormat="1" ht="16.5" customHeight="1" x14ac:dyDescent="0.3">
      <c r="A55" s="520" t="s">
        <v>21</v>
      </c>
      <c r="B55" s="546" t="s">
        <v>122</v>
      </c>
      <c r="C55" s="547"/>
      <c r="D55" s="547"/>
      <c r="E55" s="547"/>
    </row>
    <row r="56" spans="1:7" ht="16.5" customHeight="1" x14ac:dyDescent="0.3">
      <c r="A56" s="520"/>
      <c r="B56" s="546" t="s">
        <v>123</v>
      </c>
      <c r="C56" s="547"/>
      <c r="D56" s="547"/>
      <c r="E56" s="547"/>
    </row>
    <row r="57" spans="1:7" ht="16.5" customHeight="1" x14ac:dyDescent="0.3">
      <c r="A57" s="520"/>
      <c r="B57" s="546" t="s">
        <v>124</v>
      </c>
      <c r="C57" s="547"/>
      <c r="D57" s="547"/>
      <c r="E57" s="547"/>
    </row>
    <row r="58" spans="1:7" ht="14.25" customHeight="1" thickBot="1" x14ac:dyDescent="0.3">
      <c r="A58" s="549"/>
      <c r="B58" s="550"/>
      <c r="D58" s="551"/>
      <c r="F58" s="552"/>
      <c r="G58" s="552"/>
    </row>
    <row r="59" spans="1:7" ht="15" customHeight="1" x14ac:dyDescent="0.3">
      <c r="B59" s="553" t="s">
        <v>23</v>
      </c>
      <c r="C59" s="553"/>
      <c r="E59" s="554" t="s">
        <v>24</v>
      </c>
      <c r="F59" s="555"/>
      <c r="G59" s="554" t="s">
        <v>25</v>
      </c>
    </row>
    <row r="60" spans="1:7" ht="15" customHeight="1" x14ac:dyDescent="0.3">
      <c r="A60" s="556" t="s">
        <v>26</v>
      </c>
      <c r="B60" s="557"/>
      <c r="C60" s="557"/>
      <c r="E60" s="557"/>
      <c r="G60" s="557"/>
    </row>
    <row r="61" spans="1:7" ht="15" customHeight="1" x14ac:dyDescent="0.3">
      <c r="A61" s="556" t="s">
        <v>27</v>
      </c>
      <c r="B61" s="558"/>
      <c r="C61" s="558"/>
      <c r="E61" s="558"/>
      <c r="G61" s="5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D31" sqref="D3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6" t="s">
        <v>28</v>
      </c>
      <c r="B11" s="467"/>
      <c r="C11" s="467"/>
      <c r="D11" s="467"/>
      <c r="E11" s="467"/>
      <c r="F11" s="468"/>
      <c r="G11" s="43"/>
    </row>
    <row r="12" spans="1:7" ht="16.5" customHeight="1" x14ac:dyDescent="0.3">
      <c r="A12" s="465" t="s">
        <v>29</v>
      </c>
      <c r="B12" s="465"/>
      <c r="C12" s="465"/>
      <c r="D12" s="465"/>
      <c r="E12" s="465"/>
      <c r="F12" s="465"/>
      <c r="G12" s="42"/>
    </row>
    <row r="14" spans="1:7" ht="16.5" customHeight="1" x14ac:dyDescent="0.3">
      <c r="A14" s="470" t="s">
        <v>30</v>
      </c>
      <c r="B14" s="470"/>
      <c r="C14" s="12" t="s">
        <v>5</v>
      </c>
    </row>
    <row r="15" spans="1:7" ht="16.5" customHeight="1" x14ac:dyDescent="0.3">
      <c r="A15" s="470" t="s">
        <v>31</v>
      </c>
      <c r="B15" s="470"/>
      <c r="C15" s="12" t="s">
        <v>7</v>
      </c>
    </row>
    <row r="16" spans="1:7" ht="16.5" customHeight="1" x14ac:dyDescent="0.3">
      <c r="A16" s="470" t="s">
        <v>32</v>
      </c>
      <c r="B16" s="470"/>
      <c r="C16" s="12" t="s">
        <v>9</v>
      </c>
    </row>
    <row r="17" spans="1:5" ht="16.5" customHeight="1" x14ac:dyDescent="0.3">
      <c r="A17" s="470" t="s">
        <v>33</v>
      </c>
      <c r="B17" s="470"/>
      <c r="C17" s="12" t="s">
        <v>11</v>
      </c>
    </row>
    <row r="18" spans="1:5" ht="16.5" customHeight="1" x14ac:dyDescent="0.3">
      <c r="A18" s="470" t="s">
        <v>34</v>
      </c>
      <c r="B18" s="470"/>
      <c r="C18" s="49" t="s">
        <v>12</v>
      </c>
    </row>
    <row r="19" spans="1:5" ht="16.5" customHeight="1" x14ac:dyDescent="0.3">
      <c r="A19" s="470" t="s">
        <v>35</v>
      </c>
      <c r="B19" s="47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65" t="s">
        <v>1</v>
      </c>
      <c r="B21" s="465"/>
      <c r="C21" s="11" t="s">
        <v>36</v>
      </c>
      <c r="D21" s="18"/>
    </row>
    <row r="22" spans="1:5" ht="15.75" customHeight="1" x14ac:dyDescent="0.3">
      <c r="A22" s="469"/>
      <c r="B22" s="469"/>
      <c r="C22" s="9"/>
      <c r="D22" s="469"/>
      <c r="E22" s="469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859.27</v>
      </c>
      <c r="D24" s="39">
        <f t="shared" ref="D24:D43" si="0">(C24-$C$46)/$C$46</f>
        <v>-9.5960617591955531E-3</v>
      </c>
      <c r="E24" s="5"/>
    </row>
    <row r="25" spans="1:5" ht="15.75" customHeight="1" x14ac:dyDescent="0.3">
      <c r="C25" s="47">
        <v>869.61</v>
      </c>
      <c r="D25" s="40">
        <f t="shared" si="0"/>
        <v>2.321934588180649E-3</v>
      </c>
      <c r="E25" s="5"/>
    </row>
    <row r="26" spans="1:5" ht="15.75" customHeight="1" x14ac:dyDescent="0.3">
      <c r="C26" s="47">
        <v>863.05</v>
      </c>
      <c r="D26" s="40">
        <f t="shared" si="0"/>
        <v>-5.2391926882979153E-3</v>
      </c>
      <c r="E26" s="5"/>
    </row>
    <row r="27" spans="1:5" ht="15.75" customHeight="1" x14ac:dyDescent="0.3">
      <c r="C27" s="47">
        <v>869.58</v>
      </c>
      <c r="D27" s="40">
        <f t="shared" si="0"/>
        <v>2.2873562622211753E-3</v>
      </c>
      <c r="E27" s="5"/>
    </row>
    <row r="28" spans="1:5" ht="15.75" customHeight="1" x14ac:dyDescent="0.3">
      <c r="C28" s="47">
        <v>873.7</v>
      </c>
      <c r="D28" s="40">
        <f t="shared" si="0"/>
        <v>7.0361130273265769E-3</v>
      </c>
      <c r="E28" s="5"/>
    </row>
    <row r="29" spans="1:5" ht="15.75" customHeight="1" x14ac:dyDescent="0.3">
      <c r="C29" s="47">
        <v>864.84</v>
      </c>
      <c r="D29" s="40">
        <f t="shared" si="0"/>
        <v>-3.1760192393806754E-3</v>
      </c>
      <c r="E29" s="5"/>
    </row>
    <row r="30" spans="1:5" ht="15.75" customHeight="1" x14ac:dyDescent="0.3">
      <c r="C30" s="47">
        <v>865.18</v>
      </c>
      <c r="D30" s="40">
        <f t="shared" si="0"/>
        <v>-2.784131545173043E-3</v>
      </c>
      <c r="E30" s="5"/>
    </row>
    <row r="31" spans="1:5" ht="15.75" customHeight="1" x14ac:dyDescent="0.3">
      <c r="C31" s="47">
        <v>866.82</v>
      </c>
      <c r="D31" s="40">
        <f t="shared" si="0"/>
        <v>-8.9384972605330369E-4</v>
      </c>
      <c r="E31" s="5"/>
    </row>
    <row r="32" spans="1:5" ht="15.75" customHeight="1" x14ac:dyDescent="0.3">
      <c r="C32" s="47">
        <v>877.44</v>
      </c>
      <c r="D32" s="40">
        <f t="shared" si="0"/>
        <v>1.1346877663611584E-2</v>
      </c>
      <c r="E32" s="5"/>
    </row>
    <row r="33" spans="1:7" ht="15.75" customHeight="1" x14ac:dyDescent="0.3">
      <c r="C33" s="47">
        <v>868.44</v>
      </c>
      <c r="D33" s="40">
        <f t="shared" si="0"/>
        <v>9.7337987575998874E-4</v>
      </c>
      <c r="E33" s="5"/>
    </row>
    <row r="34" spans="1:7" ht="15.75" customHeight="1" x14ac:dyDescent="0.3">
      <c r="C34" s="47">
        <v>867.95</v>
      </c>
      <c r="D34" s="40">
        <f t="shared" si="0"/>
        <v>4.0860055175472471E-4</v>
      </c>
      <c r="E34" s="5"/>
    </row>
    <row r="35" spans="1:7" ht="15.75" customHeight="1" x14ac:dyDescent="0.3">
      <c r="C35" s="47">
        <v>870.94</v>
      </c>
      <c r="D35" s="40">
        <f t="shared" si="0"/>
        <v>3.8549070390520987E-3</v>
      </c>
      <c r="E35" s="5"/>
    </row>
    <row r="36" spans="1:7" ht="15.75" customHeight="1" x14ac:dyDescent="0.3">
      <c r="C36" s="47">
        <v>869.95</v>
      </c>
      <c r="D36" s="40">
        <f t="shared" si="0"/>
        <v>2.7138222823884124E-3</v>
      </c>
      <c r="E36" s="5"/>
    </row>
    <row r="37" spans="1:7" ht="15.75" customHeight="1" x14ac:dyDescent="0.3">
      <c r="C37" s="47">
        <v>862.29</v>
      </c>
      <c r="D37" s="40">
        <f t="shared" si="0"/>
        <v>-6.1151769459387058E-3</v>
      </c>
      <c r="E37" s="5"/>
    </row>
    <row r="38" spans="1:7" ht="15.75" customHeight="1" x14ac:dyDescent="0.3">
      <c r="C38" s="47">
        <v>864.54</v>
      </c>
      <c r="D38" s="40">
        <f t="shared" si="0"/>
        <v>-3.5218024989758074E-3</v>
      </c>
      <c r="E38" s="5"/>
    </row>
    <row r="39" spans="1:7" ht="15.75" customHeight="1" x14ac:dyDescent="0.3">
      <c r="C39" s="47">
        <v>869.38</v>
      </c>
      <c r="D39" s="40">
        <f t="shared" si="0"/>
        <v>2.0568340891577537E-3</v>
      </c>
      <c r="E39" s="5"/>
    </row>
    <row r="40" spans="1:7" ht="15.75" customHeight="1" x14ac:dyDescent="0.3">
      <c r="C40" s="47">
        <v>862.1</v>
      </c>
      <c r="D40" s="40">
        <f t="shared" si="0"/>
        <v>-6.3341730103488383E-3</v>
      </c>
      <c r="E40" s="5"/>
    </row>
    <row r="41" spans="1:7" ht="15.75" customHeight="1" x14ac:dyDescent="0.3">
      <c r="C41" s="47">
        <v>875.83</v>
      </c>
      <c r="D41" s="40">
        <f t="shared" si="0"/>
        <v>9.4911741704514496E-3</v>
      </c>
      <c r="E41" s="5"/>
    </row>
    <row r="42" spans="1:7" ht="15.75" customHeight="1" x14ac:dyDescent="0.3">
      <c r="C42" s="47">
        <v>871.32</v>
      </c>
      <c r="D42" s="40">
        <f t="shared" si="0"/>
        <v>4.2928991678724939E-3</v>
      </c>
      <c r="E42" s="5"/>
    </row>
    <row r="43" spans="1:7" ht="16.5" customHeight="1" x14ac:dyDescent="0.3">
      <c r="C43" s="48">
        <v>859.68</v>
      </c>
      <c r="D43" s="41">
        <f t="shared" si="0"/>
        <v>-9.1234913044156846E-3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17351.910000000003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867.59550000000013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63">
        <f>C46</f>
        <v>867.59550000000013</v>
      </c>
      <c r="C49" s="45">
        <f>-IF(C46&lt;=80,10%,IF(C46&lt;250,7.5%,5%))</f>
        <v>-0.05</v>
      </c>
      <c r="D49" s="33">
        <f>IF(C46&lt;=80,C46*0.9,IF(C46&lt;250,C46*0.925,C46*0.95))</f>
        <v>824.21572500000013</v>
      </c>
    </row>
    <row r="50" spans="1:6" ht="17.25" customHeight="1" x14ac:dyDescent="0.3">
      <c r="B50" s="464"/>
      <c r="C50" s="46">
        <f>IF(C46&lt;=80, 10%, IF(C46&lt;250, 7.5%, 5%))</f>
        <v>0.05</v>
      </c>
      <c r="D50" s="33">
        <f>IF(C46&lt;=80, C46*1.1, IF(C46&lt;250, C46*1.075, C46*1.05))</f>
        <v>910.97527500000012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3" zoomScale="60" zoomScaleNormal="40" zoomScalePageLayoutView="44" workbookViewId="0">
      <selection activeCell="B23" sqref="B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9" t="s">
        <v>42</v>
      </c>
      <c r="B1" s="499"/>
      <c r="C1" s="499"/>
      <c r="D1" s="499"/>
      <c r="E1" s="499"/>
      <c r="F1" s="499"/>
      <c r="G1" s="499"/>
      <c r="H1" s="499"/>
      <c r="I1" s="499"/>
    </row>
    <row r="2" spans="1:9" ht="18.75" customHeight="1" x14ac:dyDescent="0.25">
      <c r="A2" s="499"/>
      <c r="B2" s="499"/>
      <c r="C2" s="499"/>
      <c r="D2" s="499"/>
      <c r="E2" s="499"/>
      <c r="F2" s="499"/>
      <c r="G2" s="499"/>
      <c r="H2" s="499"/>
      <c r="I2" s="499"/>
    </row>
    <row r="3" spans="1:9" ht="18.75" customHeight="1" x14ac:dyDescent="0.25">
      <c r="A3" s="499"/>
      <c r="B3" s="499"/>
      <c r="C3" s="499"/>
      <c r="D3" s="499"/>
      <c r="E3" s="499"/>
      <c r="F3" s="499"/>
      <c r="G3" s="499"/>
      <c r="H3" s="499"/>
      <c r="I3" s="499"/>
    </row>
    <row r="4" spans="1:9" ht="18.75" customHeight="1" x14ac:dyDescent="0.25">
      <c r="A4" s="499"/>
      <c r="B4" s="499"/>
      <c r="C4" s="499"/>
      <c r="D4" s="499"/>
      <c r="E4" s="499"/>
      <c r="F4" s="499"/>
      <c r="G4" s="499"/>
      <c r="H4" s="499"/>
      <c r="I4" s="499"/>
    </row>
    <row r="5" spans="1:9" ht="18.75" customHeight="1" x14ac:dyDescent="0.25">
      <c r="A5" s="499"/>
      <c r="B5" s="499"/>
      <c r="C5" s="499"/>
      <c r="D5" s="499"/>
      <c r="E5" s="499"/>
      <c r="F5" s="499"/>
      <c r="G5" s="499"/>
      <c r="H5" s="499"/>
      <c r="I5" s="499"/>
    </row>
    <row r="6" spans="1:9" ht="18.75" customHeight="1" x14ac:dyDescent="0.25">
      <c r="A6" s="499"/>
      <c r="B6" s="499"/>
      <c r="C6" s="499"/>
      <c r="D6" s="499"/>
      <c r="E6" s="499"/>
      <c r="F6" s="499"/>
      <c r="G6" s="499"/>
      <c r="H6" s="499"/>
      <c r="I6" s="499"/>
    </row>
    <row r="7" spans="1:9" ht="18.75" customHeight="1" x14ac:dyDescent="0.25">
      <c r="A7" s="499"/>
      <c r="B7" s="499"/>
      <c r="C7" s="499"/>
      <c r="D7" s="499"/>
      <c r="E7" s="499"/>
      <c r="F7" s="499"/>
      <c r="G7" s="499"/>
      <c r="H7" s="499"/>
      <c r="I7" s="499"/>
    </row>
    <row r="8" spans="1:9" x14ac:dyDescent="0.25">
      <c r="A8" s="500" t="s">
        <v>43</v>
      </c>
      <c r="B8" s="500"/>
      <c r="C8" s="500"/>
      <c r="D8" s="500"/>
      <c r="E8" s="500"/>
      <c r="F8" s="500"/>
      <c r="G8" s="500"/>
      <c r="H8" s="500"/>
      <c r="I8" s="500"/>
    </row>
    <row r="9" spans="1:9" x14ac:dyDescent="0.25">
      <c r="A9" s="500"/>
      <c r="B9" s="500"/>
      <c r="C9" s="500"/>
      <c r="D9" s="500"/>
      <c r="E9" s="500"/>
      <c r="F9" s="500"/>
      <c r="G9" s="500"/>
      <c r="H9" s="500"/>
      <c r="I9" s="500"/>
    </row>
    <row r="10" spans="1:9" x14ac:dyDescent="0.25">
      <c r="A10" s="500"/>
      <c r="B10" s="500"/>
      <c r="C10" s="500"/>
      <c r="D10" s="500"/>
      <c r="E10" s="500"/>
      <c r="F10" s="500"/>
      <c r="G10" s="500"/>
      <c r="H10" s="500"/>
      <c r="I10" s="500"/>
    </row>
    <row r="11" spans="1:9" x14ac:dyDescent="0.25">
      <c r="A11" s="500"/>
      <c r="B11" s="500"/>
      <c r="C11" s="500"/>
      <c r="D11" s="500"/>
      <c r="E11" s="500"/>
      <c r="F11" s="500"/>
      <c r="G11" s="500"/>
      <c r="H11" s="500"/>
      <c r="I11" s="500"/>
    </row>
    <row r="12" spans="1:9" x14ac:dyDescent="0.25">
      <c r="A12" s="500"/>
      <c r="B12" s="500"/>
      <c r="C12" s="500"/>
      <c r="D12" s="500"/>
      <c r="E12" s="500"/>
      <c r="F12" s="500"/>
      <c r="G12" s="500"/>
      <c r="H12" s="500"/>
      <c r="I12" s="500"/>
    </row>
    <row r="13" spans="1:9" x14ac:dyDescent="0.25">
      <c r="A13" s="500"/>
      <c r="B13" s="500"/>
      <c r="C13" s="500"/>
      <c r="D13" s="500"/>
      <c r="E13" s="500"/>
      <c r="F13" s="500"/>
      <c r="G13" s="500"/>
      <c r="H13" s="500"/>
      <c r="I13" s="500"/>
    </row>
    <row r="14" spans="1:9" x14ac:dyDescent="0.25">
      <c r="A14" s="500"/>
      <c r="B14" s="500"/>
      <c r="C14" s="500"/>
      <c r="D14" s="500"/>
      <c r="E14" s="500"/>
      <c r="F14" s="500"/>
      <c r="G14" s="500"/>
      <c r="H14" s="500"/>
      <c r="I14" s="500"/>
    </row>
    <row r="15" spans="1:9" ht="19.5" customHeight="1" x14ac:dyDescent="0.3">
      <c r="A15" s="50"/>
    </row>
    <row r="16" spans="1:9" ht="19.5" customHeight="1" x14ac:dyDescent="0.3">
      <c r="A16" s="472" t="s">
        <v>28</v>
      </c>
      <c r="B16" s="473"/>
      <c r="C16" s="473"/>
      <c r="D16" s="473"/>
      <c r="E16" s="473"/>
      <c r="F16" s="473"/>
      <c r="G16" s="473"/>
      <c r="H16" s="474"/>
    </row>
    <row r="17" spans="1:14" ht="20.25" customHeight="1" x14ac:dyDescent="0.25">
      <c r="A17" s="475" t="s">
        <v>44</v>
      </c>
      <c r="B17" s="475"/>
      <c r="C17" s="475"/>
      <c r="D17" s="475"/>
      <c r="E17" s="475"/>
      <c r="F17" s="475"/>
      <c r="G17" s="475"/>
      <c r="H17" s="475"/>
    </row>
    <row r="18" spans="1:14" ht="26.25" customHeight="1" x14ac:dyDescent="0.4">
      <c r="A18" s="52" t="s">
        <v>30</v>
      </c>
      <c r="B18" s="471" t="s">
        <v>5</v>
      </c>
      <c r="C18" s="471"/>
      <c r="D18" s="219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476" t="s">
        <v>9</v>
      </c>
      <c r="C20" s="476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476" t="s">
        <v>11</v>
      </c>
      <c r="C21" s="476"/>
      <c r="D21" s="476"/>
      <c r="E21" s="476"/>
      <c r="F21" s="476"/>
      <c r="G21" s="476"/>
      <c r="H21" s="476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71" t="s">
        <v>125</v>
      </c>
      <c r="C26" s="471"/>
    </row>
    <row r="27" spans="1:14" ht="26.25" customHeight="1" x14ac:dyDescent="0.4">
      <c r="A27" s="61" t="s">
        <v>45</v>
      </c>
      <c r="B27" s="477" t="s">
        <v>126</v>
      </c>
      <c r="C27" s="477"/>
    </row>
    <row r="28" spans="1:14" ht="27" customHeight="1" x14ac:dyDescent="0.4">
      <c r="A28" s="61" t="s">
        <v>6</v>
      </c>
      <c r="B28" s="62">
        <v>101.74</v>
      </c>
    </row>
    <row r="29" spans="1:14" s="3" customFormat="1" ht="27" customHeight="1" x14ac:dyDescent="0.4">
      <c r="A29" s="61" t="s">
        <v>46</v>
      </c>
      <c r="B29" s="63">
        <v>0</v>
      </c>
      <c r="C29" s="478" t="s">
        <v>47</v>
      </c>
      <c r="D29" s="479"/>
      <c r="E29" s="479"/>
      <c r="F29" s="479"/>
      <c r="G29" s="480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101.74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81" t="s">
        <v>50</v>
      </c>
      <c r="D31" s="482"/>
      <c r="E31" s="482"/>
      <c r="F31" s="482"/>
      <c r="G31" s="482"/>
      <c r="H31" s="483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81" t="s">
        <v>52</v>
      </c>
      <c r="D32" s="482"/>
      <c r="E32" s="482"/>
      <c r="F32" s="482"/>
      <c r="G32" s="482"/>
      <c r="H32" s="48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20</v>
      </c>
      <c r="C36" s="51"/>
      <c r="D36" s="484" t="s">
        <v>56</v>
      </c>
      <c r="E36" s="485"/>
      <c r="F36" s="484" t="s">
        <v>57</v>
      </c>
      <c r="G36" s="48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3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25</v>
      </c>
      <c r="C38" s="83">
        <v>1</v>
      </c>
      <c r="D38" s="84">
        <v>39016450</v>
      </c>
      <c r="E38" s="85">
        <f>IF(ISBLANK(D38),"-",$D$48/$D$45*D38)</f>
        <v>34015588.403433621</v>
      </c>
      <c r="F38" s="84">
        <v>35787704</v>
      </c>
      <c r="G38" s="86">
        <f>IF(ISBLANK(F38),"-",$D$48/$F$45*F38)</f>
        <v>34224214.564610422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39102559</v>
      </c>
      <c r="E39" s="90">
        <f>IF(ISBLANK(D39),"-",$D$48/$D$45*D39)</f>
        <v>34090660.541002035</v>
      </c>
      <c r="F39" s="89">
        <v>36088794</v>
      </c>
      <c r="G39" s="91">
        <f>IF(ISBLANK(F39),"-",$D$48/$F$45*F39)</f>
        <v>34512150.576466858</v>
      </c>
      <c r="I39" s="488">
        <f>ABS((F43/D43*D42)-F42)/D42</f>
        <v>9.744355367597721E-3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39084825</v>
      </c>
      <c r="E40" s="90">
        <f>IF(ISBLANK(D40),"-",$D$48/$D$45*D40)</f>
        <v>34075199.563779697</v>
      </c>
      <c r="F40" s="89">
        <v>36115055</v>
      </c>
      <c r="G40" s="91">
        <f>IF(ISBLANK(F40),"-",$D$48/$F$45*F40)</f>
        <v>34537264.288670391</v>
      </c>
      <c r="I40" s="488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39067944.666666664</v>
      </c>
      <c r="E42" s="100">
        <f>AVERAGE(E38:E41)</f>
        <v>34060482.836071782</v>
      </c>
      <c r="F42" s="99">
        <f>AVERAGE(F38:F41)</f>
        <v>35997184.333333336</v>
      </c>
      <c r="G42" s="101">
        <f>AVERAGE(G38:G41)</f>
        <v>34424543.143249221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18.79</v>
      </c>
      <c r="E43" s="92"/>
      <c r="F43" s="104">
        <v>17.13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18.79</v>
      </c>
      <c r="E44" s="107"/>
      <c r="F44" s="106">
        <f>F43*$B$34</f>
        <v>17.13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166.66666666666669</v>
      </c>
      <c r="C45" s="105" t="s">
        <v>74</v>
      </c>
      <c r="D45" s="109">
        <f>D44*$B$30/100</f>
        <v>19.116945999999999</v>
      </c>
      <c r="E45" s="110"/>
      <c r="F45" s="109">
        <f>F44*$B$30/100</f>
        <v>17.428061999999997</v>
      </c>
      <c r="H45" s="102"/>
    </row>
    <row r="46" spans="1:14" ht="19.5" customHeight="1" x14ac:dyDescent="0.3">
      <c r="A46" s="489" t="s">
        <v>75</v>
      </c>
      <c r="B46" s="490"/>
      <c r="C46" s="105" t="s">
        <v>76</v>
      </c>
      <c r="D46" s="111">
        <f>D45/$B$45</f>
        <v>0.11470167599999997</v>
      </c>
      <c r="E46" s="112"/>
      <c r="F46" s="113">
        <f>F45/$B$45</f>
        <v>0.10456837199999997</v>
      </c>
      <c r="H46" s="102"/>
    </row>
    <row r="47" spans="1:14" ht="27" customHeight="1" x14ac:dyDescent="0.4">
      <c r="A47" s="491"/>
      <c r="B47" s="492"/>
      <c r="C47" s="114" t="s">
        <v>77</v>
      </c>
      <c r="D47" s="115">
        <v>0.1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16.666666666666668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16.666666666666668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34242512.989660509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6.690912034363678E-3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tablet contains Lamivudine 300mg and Tenofovir Disoproxil Fumarate 300mg</v>
      </c>
    </row>
    <row r="56" spans="1:12" ht="26.25" customHeight="1" x14ac:dyDescent="0.4">
      <c r="A56" s="129" t="s">
        <v>84</v>
      </c>
      <c r="B56" s="130">
        <v>300</v>
      </c>
      <c r="C56" s="51" t="str">
        <f>B20</f>
        <v>Lamivudine and Tenofovir Disoproxil Fumarate</v>
      </c>
      <c r="H56" s="131"/>
    </row>
    <row r="57" spans="1:12" ht="18.75" x14ac:dyDescent="0.3">
      <c r="A57" s="128" t="s">
        <v>85</v>
      </c>
      <c r="B57" s="220">
        <f>Uniformity!C46</f>
        <v>867.59550000000013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50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5</v>
      </c>
      <c r="C60" s="493" t="s">
        <v>91</v>
      </c>
      <c r="D60" s="496">
        <v>144.21</v>
      </c>
      <c r="E60" s="134">
        <v>1</v>
      </c>
      <c r="F60" s="135">
        <v>33858395</v>
      </c>
      <c r="G60" s="221">
        <f>IF(ISBLANK(F60),"-",(F60/$D$50*$D$47*$B$68)*($B$57/$D$60))</f>
        <v>297.43540031830105</v>
      </c>
      <c r="H60" s="136">
        <f t="shared" ref="H60:H71" si="0">IF(ISBLANK(F60),"-",G60/$B$56)</f>
        <v>0.99145133439433686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494"/>
      <c r="D61" s="497"/>
      <c r="E61" s="137">
        <v>2</v>
      </c>
      <c r="F61" s="89">
        <v>34013586</v>
      </c>
      <c r="G61" s="222">
        <f>IF(ISBLANK(F61),"-",(F61/$D$50*$D$47*$B$68)*($B$57/$D$60))</f>
        <v>298.79870466898853</v>
      </c>
      <c r="H61" s="138">
        <f t="shared" si="0"/>
        <v>0.99599568222996182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494"/>
      <c r="D62" s="497"/>
      <c r="E62" s="137">
        <v>3</v>
      </c>
      <c r="F62" s="139">
        <v>33825220</v>
      </c>
      <c r="G62" s="222">
        <f>IF(ISBLANK(F62),"-",(F62/$D$50*$D$47*$B$68)*($B$57/$D$60))</f>
        <v>297.14396832911308</v>
      </c>
      <c r="H62" s="138">
        <f t="shared" si="0"/>
        <v>0.99047989443037698</v>
      </c>
      <c r="L62" s="64"/>
    </row>
    <row r="63" spans="1:12" ht="27" customHeight="1" x14ac:dyDescent="0.4">
      <c r="A63" s="76" t="s">
        <v>94</v>
      </c>
      <c r="B63" s="77">
        <v>1</v>
      </c>
      <c r="C63" s="495"/>
      <c r="D63" s="498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493" t="s">
        <v>96</v>
      </c>
      <c r="D64" s="496">
        <v>145.12</v>
      </c>
      <c r="E64" s="134">
        <v>1</v>
      </c>
      <c r="F64" s="135">
        <v>34286593</v>
      </c>
      <c r="G64" s="223">
        <f>IF(ISBLANK(F64),"-",(F64/$D$50*$D$47*$B$68)*($B$57/$D$64))</f>
        <v>299.30827802663322</v>
      </c>
      <c r="H64" s="142">
        <f t="shared" si="0"/>
        <v>0.99769426008877737</v>
      </c>
    </row>
    <row r="65" spans="1:8" ht="26.25" customHeight="1" x14ac:dyDescent="0.4">
      <c r="A65" s="76" t="s">
        <v>97</v>
      </c>
      <c r="B65" s="77">
        <v>1</v>
      </c>
      <c r="C65" s="494"/>
      <c r="D65" s="497"/>
      <c r="E65" s="137">
        <v>2</v>
      </c>
      <c r="F65" s="89">
        <v>33925264</v>
      </c>
      <c r="G65" s="224">
        <f>IF(ISBLANK(F65),"-",(F65/$D$50*$D$47*$B$68)*($B$57/$D$64))</f>
        <v>296.15402001123095</v>
      </c>
      <c r="H65" s="143">
        <f t="shared" si="0"/>
        <v>0.98718006670410319</v>
      </c>
    </row>
    <row r="66" spans="1:8" ht="26.25" customHeight="1" x14ac:dyDescent="0.4">
      <c r="A66" s="76" t="s">
        <v>98</v>
      </c>
      <c r="B66" s="77">
        <v>1</v>
      </c>
      <c r="C66" s="494"/>
      <c r="D66" s="497"/>
      <c r="E66" s="137">
        <v>3</v>
      </c>
      <c r="F66" s="89">
        <v>34147667</v>
      </c>
      <c r="G66" s="224">
        <f>IF(ISBLANK(F66),"-",(F66/$D$50*$D$47*$B$68)*($B$57/$D$64))</f>
        <v>298.09550947208106</v>
      </c>
      <c r="H66" s="143">
        <f t="shared" si="0"/>
        <v>0.99365169824027022</v>
      </c>
    </row>
    <row r="67" spans="1:8" ht="27" customHeight="1" x14ac:dyDescent="0.4">
      <c r="A67" s="76" t="s">
        <v>99</v>
      </c>
      <c r="B67" s="77">
        <v>1</v>
      </c>
      <c r="C67" s="495"/>
      <c r="D67" s="498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500</v>
      </c>
      <c r="C68" s="493" t="s">
        <v>101</v>
      </c>
      <c r="D68" s="496">
        <v>144.96</v>
      </c>
      <c r="E68" s="134">
        <v>1</v>
      </c>
      <c r="F68" s="135">
        <v>33887944</v>
      </c>
      <c r="G68" s="223">
        <f>IF(ISBLANK(F68),"-",(F68/$D$50*$D$47*$B$68)*($B$57/$D$68))</f>
        <v>296.15475252689288</v>
      </c>
      <c r="H68" s="138">
        <f t="shared" si="0"/>
        <v>0.98718250842297628</v>
      </c>
    </row>
    <row r="69" spans="1:8" ht="27" customHeight="1" x14ac:dyDescent="0.4">
      <c r="A69" s="124" t="s">
        <v>102</v>
      </c>
      <c r="B69" s="146">
        <f>(D47*B68)/B56*B57</f>
        <v>144.59925000000001</v>
      </c>
      <c r="C69" s="494"/>
      <c r="D69" s="497"/>
      <c r="E69" s="137">
        <v>2</v>
      </c>
      <c r="F69" s="89">
        <v>34049584</v>
      </c>
      <c r="G69" s="224">
        <f>IF(ISBLANK(F69),"-",(F69/$D$50*$D$47*$B$68)*($B$57/$D$68))</f>
        <v>297.56736269286949</v>
      </c>
      <c r="H69" s="138">
        <f t="shared" si="0"/>
        <v>0.99189120897623162</v>
      </c>
    </row>
    <row r="70" spans="1:8" ht="26.25" customHeight="1" x14ac:dyDescent="0.4">
      <c r="A70" s="506" t="s">
        <v>75</v>
      </c>
      <c r="B70" s="507"/>
      <c r="C70" s="494"/>
      <c r="D70" s="497"/>
      <c r="E70" s="137">
        <v>3</v>
      </c>
      <c r="F70" s="89">
        <v>33766591</v>
      </c>
      <c r="G70" s="224">
        <f>IF(ISBLANK(F70),"-",(F70/$D$50*$D$47*$B$68)*($B$57/$D$68))</f>
        <v>295.09421997633757</v>
      </c>
      <c r="H70" s="138">
        <f t="shared" si="0"/>
        <v>0.98364739992112527</v>
      </c>
    </row>
    <row r="71" spans="1:8" ht="27" customHeight="1" x14ac:dyDescent="0.4">
      <c r="A71" s="508"/>
      <c r="B71" s="509"/>
      <c r="C71" s="505"/>
      <c r="D71" s="498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68</v>
      </c>
      <c r="G72" s="230">
        <f>AVERAGE(G60:G71)</f>
        <v>297.30580178027202</v>
      </c>
      <c r="H72" s="151">
        <f>AVERAGE(H60:H71)</f>
        <v>0.99101933926757324</v>
      </c>
    </row>
    <row r="73" spans="1:8" ht="26.25" customHeight="1" x14ac:dyDescent="0.4">
      <c r="C73" s="148"/>
      <c r="D73" s="148"/>
      <c r="E73" s="148"/>
      <c r="F73" s="152" t="s">
        <v>81</v>
      </c>
      <c r="G73" s="226">
        <f>STDEV(G60:G71)/G72</f>
        <v>4.5308518274112817E-3</v>
      </c>
      <c r="H73" s="226">
        <f>STDEV(H60:H71)/H72</f>
        <v>4.5308518274112747E-3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501" t="str">
        <f>B20</f>
        <v>Lamivudine and Tenofovir Disoproxil Fumarate</v>
      </c>
      <c r="D76" s="501"/>
      <c r="E76" s="157" t="s">
        <v>105</v>
      </c>
      <c r="F76" s="157"/>
      <c r="G76" s="158">
        <f>H72</f>
        <v>0.99101933926757324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87" t="str">
        <f>B26</f>
        <v>Lamivudine</v>
      </c>
      <c r="C79" s="487"/>
    </row>
    <row r="80" spans="1:8" ht="26.25" customHeight="1" x14ac:dyDescent="0.4">
      <c r="A80" s="61" t="s">
        <v>45</v>
      </c>
      <c r="B80" s="487" t="str">
        <f>B27</f>
        <v>L3-9</v>
      </c>
      <c r="C80" s="487"/>
    </row>
    <row r="81" spans="1:12" ht="27" customHeight="1" x14ac:dyDescent="0.4">
      <c r="A81" s="61" t="s">
        <v>6</v>
      </c>
      <c r="B81" s="160">
        <f>B28</f>
        <v>101.74</v>
      </c>
    </row>
    <row r="82" spans="1:12" s="3" customFormat="1" ht="27" customHeight="1" x14ac:dyDescent="0.4">
      <c r="A82" s="61" t="s">
        <v>46</v>
      </c>
      <c r="B82" s="63">
        <v>0</v>
      </c>
      <c r="C82" s="478" t="s">
        <v>47</v>
      </c>
      <c r="D82" s="479"/>
      <c r="E82" s="479"/>
      <c r="F82" s="479"/>
      <c r="G82" s="480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101.74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81" t="s">
        <v>108</v>
      </c>
      <c r="D84" s="482"/>
      <c r="E84" s="482"/>
      <c r="F84" s="482"/>
      <c r="G84" s="482"/>
      <c r="H84" s="483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81" t="s">
        <v>109</v>
      </c>
      <c r="D85" s="482"/>
      <c r="E85" s="482"/>
      <c r="F85" s="482"/>
      <c r="G85" s="482"/>
      <c r="H85" s="48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20</v>
      </c>
      <c r="D89" s="161" t="s">
        <v>56</v>
      </c>
      <c r="E89" s="162"/>
      <c r="F89" s="484" t="s">
        <v>57</v>
      </c>
      <c r="G89" s="486"/>
    </row>
    <row r="90" spans="1:12" ht="27" customHeight="1" x14ac:dyDescent="0.4">
      <c r="A90" s="76" t="s">
        <v>58</v>
      </c>
      <c r="B90" s="77">
        <v>10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25</v>
      </c>
      <c r="C91" s="165">
        <v>1</v>
      </c>
      <c r="D91" s="84">
        <v>120848533</v>
      </c>
      <c r="E91" s="85">
        <f>IF(ISBLANK(D91),"-",$D$101/$D$98*D91)</f>
        <v>105358994.92872274</v>
      </c>
      <c r="F91" s="84">
        <v>110631199</v>
      </c>
      <c r="G91" s="86">
        <f>IF(ISBLANK(F91),"-",$D$101/$F$98*F91)</f>
        <v>105797954.8538826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89">
        <v>120614686</v>
      </c>
      <c r="E92" s="90">
        <f>IF(ISBLANK(D92),"-",$D$101/$D$98*D92)</f>
        <v>105155120.83711837</v>
      </c>
      <c r="F92" s="89">
        <v>110789565</v>
      </c>
      <c r="G92" s="91">
        <f>IF(ISBLANK(F92),"-",$D$101/$F$98*F92)</f>
        <v>105949402.17678823</v>
      </c>
      <c r="I92" s="488">
        <f>ABS((F96/D96*D95)-F95)/D95</f>
        <v>5.9356876370263486E-3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89">
        <v>120388121</v>
      </c>
      <c r="E93" s="90">
        <f>IF(ISBLANK(D93),"-",$D$101/$D$98*D93)</f>
        <v>104957595.38858002</v>
      </c>
      <c r="F93" s="89">
        <v>110610705</v>
      </c>
      <c r="G93" s="91">
        <f>IF(ISBLANK(F93),"-",$D$101/$F$98*F93)</f>
        <v>105778356.1935917</v>
      </c>
      <c r="I93" s="488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120617113.33333333</v>
      </c>
      <c r="E95" s="100">
        <f>AVERAGE(E91:E94)</f>
        <v>105157237.05147372</v>
      </c>
      <c r="F95" s="170">
        <f>AVERAGE(F91:F94)</f>
        <v>110677156.33333333</v>
      </c>
      <c r="G95" s="171">
        <f>AVERAGE(G91:G94)</f>
        <v>105841904.40808751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173">
        <v>18.79</v>
      </c>
      <c r="E96" s="92"/>
      <c r="F96" s="104">
        <v>17.13</v>
      </c>
    </row>
    <row r="97" spans="1:10" ht="26.25" customHeight="1" x14ac:dyDescent="0.4">
      <c r="A97" s="76" t="s">
        <v>71</v>
      </c>
      <c r="B97" s="62">
        <v>1</v>
      </c>
      <c r="C97" s="174" t="s">
        <v>111</v>
      </c>
      <c r="D97" s="175">
        <f>D96*$B$87</f>
        <v>18.79</v>
      </c>
      <c r="E97" s="107"/>
      <c r="F97" s="106">
        <f>F96*$B$87</f>
        <v>17.13</v>
      </c>
    </row>
    <row r="98" spans="1:10" ht="19.5" customHeight="1" x14ac:dyDescent="0.3">
      <c r="A98" s="76" t="s">
        <v>73</v>
      </c>
      <c r="B98" s="176">
        <f>(B97/B96)*(B95/B94)*(B93/B92)*(B91/B90)*B89</f>
        <v>50</v>
      </c>
      <c r="C98" s="174" t="s">
        <v>112</v>
      </c>
      <c r="D98" s="177">
        <f>D97*$B$83/100</f>
        <v>19.116945999999999</v>
      </c>
      <c r="E98" s="110"/>
      <c r="F98" s="109">
        <f>F97*$B$83/100</f>
        <v>17.428061999999997</v>
      </c>
    </row>
    <row r="99" spans="1:10" ht="19.5" customHeight="1" x14ac:dyDescent="0.3">
      <c r="A99" s="489" t="s">
        <v>75</v>
      </c>
      <c r="B99" s="503"/>
      <c r="C99" s="174" t="s">
        <v>113</v>
      </c>
      <c r="D99" s="178">
        <f>D98/$B$98</f>
        <v>0.38233891999999997</v>
      </c>
      <c r="E99" s="110"/>
      <c r="F99" s="113">
        <f>F98/$B$98</f>
        <v>0.34856123999999994</v>
      </c>
      <c r="G99" s="179"/>
      <c r="H99" s="102"/>
    </row>
    <row r="100" spans="1:10" ht="19.5" customHeight="1" x14ac:dyDescent="0.3">
      <c r="A100" s="491"/>
      <c r="B100" s="504"/>
      <c r="C100" s="174" t="s">
        <v>77</v>
      </c>
      <c r="D100" s="180">
        <f>$B$56/$B$116</f>
        <v>0.33333333333333331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105499570.72978061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3.7944391836299612E-3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1</v>
      </c>
      <c r="C108" s="195">
        <v>1</v>
      </c>
      <c r="D108" s="196">
        <v>104508694</v>
      </c>
      <c r="E108" s="227">
        <f t="shared" ref="E108:E113" si="1">IF(ISBLANK(D108),"-",D108/$D$103*$D$100*$B$116)</f>
        <v>297.1823295879035</v>
      </c>
      <c r="F108" s="197">
        <f t="shared" ref="F108:F113" si="2">IF(ISBLANK(D108), "-", E108/$B$56)</f>
        <v>0.99060776529301164</v>
      </c>
    </row>
    <row r="109" spans="1:10" ht="26.25" customHeight="1" x14ac:dyDescent="0.4">
      <c r="A109" s="76" t="s">
        <v>92</v>
      </c>
      <c r="B109" s="77">
        <v>1</v>
      </c>
      <c r="C109" s="195">
        <v>2</v>
      </c>
      <c r="D109" s="196">
        <v>104767635</v>
      </c>
      <c r="E109" s="228">
        <f t="shared" si="1"/>
        <v>297.91865770244118</v>
      </c>
      <c r="F109" s="198">
        <f t="shared" si="2"/>
        <v>0.99306219234147064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103750507</v>
      </c>
      <c r="E110" s="228">
        <f t="shared" si="1"/>
        <v>295.02633882484542</v>
      </c>
      <c r="F110" s="198">
        <f t="shared" si="2"/>
        <v>0.98342112941615145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104562547</v>
      </c>
      <c r="E111" s="228">
        <f t="shared" si="1"/>
        <v>297.33546670389592</v>
      </c>
      <c r="F111" s="198">
        <f t="shared" si="2"/>
        <v>0.99111822234631974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105110226</v>
      </c>
      <c r="E112" s="228">
        <f t="shared" si="1"/>
        <v>298.89285408342221</v>
      </c>
      <c r="F112" s="198">
        <f t="shared" si="2"/>
        <v>0.9963095136114074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104545951</v>
      </c>
      <c r="E113" s="229">
        <f t="shared" si="1"/>
        <v>297.28827409481175</v>
      </c>
      <c r="F113" s="201">
        <f t="shared" si="2"/>
        <v>0.99096091364937255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 t="s">
        <v>68</v>
      </c>
      <c r="E115" s="231">
        <f>AVERAGE(E108:E113)</f>
        <v>297.27398683288669</v>
      </c>
      <c r="F115" s="204">
        <f>AVERAGE(F108:F113)</f>
        <v>0.99091328944295565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5"/>
      <c r="D116" s="168" t="s">
        <v>81</v>
      </c>
      <c r="E116" s="206">
        <f>STDEV(E108:E113)/E115</f>
        <v>4.281714529800972E-3</v>
      </c>
      <c r="F116" s="206">
        <f>STDEV(F108:F113)/F115</f>
        <v>4.2817145298009755E-3</v>
      </c>
      <c r="I116" s="50"/>
    </row>
    <row r="117" spans="1:10" ht="27" customHeight="1" x14ac:dyDescent="0.4">
      <c r="A117" s="489" t="s">
        <v>75</v>
      </c>
      <c r="B117" s="490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91"/>
      <c r="B118" s="492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501" t="str">
        <f>B20</f>
        <v>Lamivudine and Tenofovir Disoproxil Fumarate</v>
      </c>
      <c r="D120" s="501"/>
      <c r="E120" s="157" t="s">
        <v>121</v>
      </c>
      <c r="F120" s="157"/>
      <c r="G120" s="158">
        <f>F115</f>
        <v>0.99091328944295565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502" t="s">
        <v>23</v>
      </c>
      <c r="C122" s="502"/>
      <c r="E122" s="163" t="s">
        <v>24</v>
      </c>
      <c r="F122" s="212"/>
      <c r="G122" s="502" t="s">
        <v>25</v>
      </c>
      <c r="H122" s="502"/>
    </row>
    <row r="123" spans="1:10" ht="69.95" customHeight="1" x14ac:dyDescent="0.3">
      <c r="A123" s="213" t="s">
        <v>26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27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1" zoomScale="60" zoomScaleNormal="40" zoomScalePageLayoutView="55" workbookViewId="0">
      <selection activeCell="B18" sqref="B18:C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9" t="s">
        <v>42</v>
      </c>
      <c r="B1" s="499"/>
      <c r="C1" s="499"/>
      <c r="D1" s="499"/>
      <c r="E1" s="499"/>
      <c r="F1" s="499"/>
      <c r="G1" s="499"/>
      <c r="H1" s="499"/>
      <c r="I1" s="499"/>
    </row>
    <row r="2" spans="1:9" ht="18.75" customHeight="1" x14ac:dyDescent="0.25">
      <c r="A2" s="499"/>
      <c r="B2" s="499"/>
      <c r="C2" s="499"/>
      <c r="D2" s="499"/>
      <c r="E2" s="499"/>
      <c r="F2" s="499"/>
      <c r="G2" s="499"/>
      <c r="H2" s="499"/>
      <c r="I2" s="499"/>
    </row>
    <row r="3" spans="1:9" ht="18.75" customHeight="1" x14ac:dyDescent="0.25">
      <c r="A3" s="499"/>
      <c r="B3" s="499"/>
      <c r="C3" s="499"/>
      <c r="D3" s="499"/>
      <c r="E3" s="499"/>
      <c r="F3" s="499"/>
      <c r="G3" s="499"/>
      <c r="H3" s="499"/>
      <c r="I3" s="499"/>
    </row>
    <row r="4" spans="1:9" ht="18.75" customHeight="1" x14ac:dyDescent="0.25">
      <c r="A4" s="499"/>
      <c r="B4" s="499"/>
      <c r="C4" s="499"/>
      <c r="D4" s="499"/>
      <c r="E4" s="499"/>
      <c r="F4" s="499"/>
      <c r="G4" s="499"/>
      <c r="H4" s="499"/>
      <c r="I4" s="499"/>
    </row>
    <row r="5" spans="1:9" ht="18.75" customHeight="1" x14ac:dyDescent="0.25">
      <c r="A5" s="499"/>
      <c r="B5" s="499"/>
      <c r="C5" s="499"/>
      <c r="D5" s="499"/>
      <c r="E5" s="499"/>
      <c r="F5" s="499"/>
      <c r="G5" s="499"/>
      <c r="H5" s="499"/>
      <c r="I5" s="499"/>
    </row>
    <row r="6" spans="1:9" ht="18.75" customHeight="1" x14ac:dyDescent="0.25">
      <c r="A6" s="499"/>
      <c r="B6" s="499"/>
      <c r="C6" s="499"/>
      <c r="D6" s="499"/>
      <c r="E6" s="499"/>
      <c r="F6" s="499"/>
      <c r="G6" s="499"/>
      <c r="H6" s="499"/>
      <c r="I6" s="499"/>
    </row>
    <row r="7" spans="1:9" ht="18.75" customHeight="1" x14ac:dyDescent="0.25">
      <c r="A7" s="499"/>
      <c r="B7" s="499"/>
      <c r="C7" s="499"/>
      <c r="D7" s="499"/>
      <c r="E7" s="499"/>
      <c r="F7" s="499"/>
      <c r="G7" s="499"/>
      <c r="H7" s="499"/>
      <c r="I7" s="499"/>
    </row>
    <row r="8" spans="1:9" x14ac:dyDescent="0.25">
      <c r="A8" s="500" t="s">
        <v>43</v>
      </c>
      <c r="B8" s="500"/>
      <c r="C8" s="500"/>
      <c r="D8" s="500"/>
      <c r="E8" s="500"/>
      <c r="F8" s="500"/>
      <c r="G8" s="500"/>
      <c r="H8" s="500"/>
      <c r="I8" s="500"/>
    </row>
    <row r="9" spans="1:9" x14ac:dyDescent="0.25">
      <c r="A9" s="500"/>
      <c r="B9" s="500"/>
      <c r="C9" s="500"/>
      <c r="D9" s="500"/>
      <c r="E9" s="500"/>
      <c r="F9" s="500"/>
      <c r="G9" s="500"/>
      <c r="H9" s="500"/>
      <c r="I9" s="500"/>
    </row>
    <row r="10" spans="1:9" x14ac:dyDescent="0.25">
      <c r="A10" s="500"/>
      <c r="B10" s="500"/>
      <c r="C10" s="500"/>
      <c r="D10" s="500"/>
      <c r="E10" s="500"/>
      <c r="F10" s="500"/>
      <c r="G10" s="500"/>
      <c r="H10" s="500"/>
      <c r="I10" s="500"/>
    </row>
    <row r="11" spans="1:9" x14ac:dyDescent="0.25">
      <c r="A11" s="500"/>
      <c r="B11" s="500"/>
      <c r="C11" s="500"/>
      <c r="D11" s="500"/>
      <c r="E11" s="500"/>
      <c r="F11" s="500"/>
      <c r="G11" s="500"/>
      <c r="H11" s="500"/>
      <c r="I11" s="500"/>
    </row>
    <row r="12" spans="1:9" x14ac:dyDescent="0.25">
      <c r="A12" s="500"/>
      <c r="B12" s="500"/>
      <c r="C12" s="500"/>
      <c r="D12" s="500"/>
      <c r="E12" s="500"/>
      <c r="F12" s="500"/>
      <c r="G12" s="500"/>
      <c r="H12" s="500"/>
      <c r="I12" s="500"/>
    </row>
    <row r="13" spans="1:9" x14ac:dyDescent="0.25">
      <c r="A13" s="500"/>
      <c r="B13" s="500"/>
      <c r="C13" s="500"/>
      <c r="D13" s="500"/>
      <c r="E13" s="500"/>
      <c r="F13" s="500"/>
      <c r="G13" s="500"/>
      <c r="H13" s="500"/>
      <c r="I13" s="500"/>
    </row>
    <row r="14" spans="1:9" x14ac:dyDescent="0.25">
      <c r="A14" s="500"/>
      <c r="B14" s="500"/>
      <c r="C14" s="500"/>
      <c r="D14" s="500"/>
      <c r="E14" s="500"/>
      <c r="F14" s="500"/>
      <c r="G14" s="500"/>
      <c r="H14" s="500"/>
      <c r="I14" s="500"/>
    </row>
    <row r="15" spans="1:9" ht="19.5" customHeight="1" x14ac:dyDescent="0.3">
      <c r="A15" s="233"/>
    </row>
    <row r="16" spans="1:9" ht="19.5" customHeight="1" x14ac:dyDescent="0.3">
      <c r="A16" s="472" t="s">
        <v>28</v>
      </c>
      <c r="B16" s="473"/>
      <c r="C16" s="473"/>
      <c r="D16" s="473"/>
      <c r="E16" s="473"/>
      <c r="F16" s="473"/>
      <c r="G16" s="473"/>
      <c r="H16" s="474"/>
    </row>
    <row r="17" spans="1:14" ht="20.25" customHeight="1" x14ac:dyDescent="0.25">
      <c r="A17" s="475" t="s">
        <v>44</v>
      </c>
      <c r="B17" s="475"/>
      <c r="C17" s="475"/>
      <c r="D17" s="475"/>
      <c r="E17" s="475"/>
      <c r="F17" s="475"/>
      <c r="G17" s="475"/>
      <c r="H17" s="475"/>
    </row>
    <row r="18" spans="1:14" ht="26.25" customHeight="1" x14ac:dyDescent="0.4">
      <c r="A18" s="235" t="s">
        <v>30</v>
      </c>
      <c r="B18" s="471" t="s">
        <v>5</v>
      </c>
      <c r="C18" s="471"/>
      <c r="D18" s="402"/>
      <c r="E18" s="236"/>
      <c r="F18" s="237"/>
      <c r="G18" s="237"/>
      <c r="H18" s="237"/>
    </row>
    <row r="19" spans="1:14" ht="26.25" customHeight="1" x14ac:dyDescent="0.4">
      <c r="A19" s="235" t="s">
        <v>31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32</v>
      </c>
      <c r="B20" s="476" t="s">
        <v>9</v>
      </c>
      <c r="C20" s="476"/>
      <c r="D20" s="237"/>
      <c r="E20" s="237"/>
      <c r="F20" s="237"/>
      <c r="G20" s="237"/>
      <c r="H20" s="237"/>
    </row>
    <row r="21" spans="1:14" ht="26.25" customHeight="1" x14ac:dyDescent="0.4">
      <c r="A21" s="235" t="s">
        <v>33</v>
      </c>
      <c r="B21" s="476" t="s">
        <v>11</v>
      </c>
      <c r="C21" s="476"/>
      <c r="D21" s="476"/>
      <c r="E21" s="476"/>
      <c r="F21" s="476"/>
      <c r="G21" s="476"/>
      <c r="H21" s="476"/>
      <c r="I21" s="239"/>
    </row>
    <row r="22" spans="1:14" ht="26.25" customHeight="1" x14ac:dyDescent="0.4">
      <c r="A22" s="235" t="s">
        <v>34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35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471" t="s">
        <v>127</v>
      </c>
      <c r="C26" s="471"/>
    </row>
    <row r="27" spans="1:14" ht="26.25" customHeight="1" x14ac:dyDescent="0.4">
      <c r="A27" s="244" t="s">
        <v>45</v>
      </c>
      <c r="B27" s="477" t="s">
        <v>128</v>
      </c>
      <c r="C27" s="477"/>
    </row>
    <row r="28" spans="1:14" ht="27" customHeight="1" x14ac:dyDescent="0.4">
      <c r="A28" s="244" t="s">
        <v>6</v>
      </c>
      <c r="B28" s="245">
        <v>98.8</v>
      </c>
    </row>
    <row r="29" spans="1:14" s="3" customFormat="1" ht="27" customHeight="1" x14ac:dyDescent="0.4">
      <c r="A29" s="244" t="s">
        <v>46</v>
      </c>
      <c r="B29" s="246">
        <v>0</v>
      </c>
      <c r="C29" s="478" t="s">
        <v>47</v>
      </c>
      <c r="D29" s="479"/>
      <c r="E29" s="479"/>
      <c r="F29" s="479"/>
      <c r="G29" s="480"/>
      <c r="I29" s="247"/>
      <c r="J29" s="247"/>
      <c r="K29" s="247"/>
      <c r="L29" s="247"/>
    </row>
    <row r="30" spans="1:14" s="3" customFormat="1" ht="19.5" customHeight="1" x14ac:dyDescent="0.3">
      <c r="A30" s="244" t="s">
        <v>48</v>
      </c>
      <c r="B30" s="248">
        <f>B28-B29</f>
        <v>98.8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49</v>
      </c>
      <c r="B31" s="251">
        <v>1</v>
      </c>
      <c r="C31" s="481" t="s">
        <v>50</v>
      </c>
      <c r="D31" s="482"/>
      <c r="E31" s="482"/>
      <c r="F31" s="482"/>
      <c r="G31" s="482"/>
      <c r="H31" s="483"/>
      <c r="I31" s="247"/>
      <c r="J31" s="247"/>
      <c r="K31" s="247"/>
      <c r="L31" s="247"/>
    </row>
    <row r="32" spans="1:14" s="3" customFormat="1" ht="27" customHeight="1" x14ac:dyDescent="0.4">
      <c r="A32" s="244" t="s">
        <v>51</v>
      </c>
      <c r="B32" s="251">
        <v>1</v>
      </c>
      <c r="C32" s="481" t="s">
        <v>52</v>
      </c>
      <c r="D32" s="482"/>
      <c r="E32" s="482"/>
      <c r="F32" s="482"/>
      <c r="G32" s="482"/>
      <c r="H32" s="483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53</v>
      </c>
      <c r="B34" s="256">
        <f>B31/B32</f>
        <v>1</v>
      </c>
      <c r="C34" s="234" t="s">
        <v>54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55</v>
      </c>
      <c r="B36" s="258">
        <v>20</v>
      </c>
      <c r="C36" s="234"/>
      <c r="D36" s="484" t="s">
        <v>56</v>
      </c>
      <c r="E36" s="485"/>
      <c r="F36" s="484" t="s">
        <v>57</v>
      </c>
      <c r="G36" s="486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58</v>
      </c>
      <c r="B37" s="260">
        <v>3</v>
      </c>
      <c r="C37" s="261" t="s">
        <v>59</v>
      </c>
      <c r="D37" s="262" t="s">
        <v>60</v>
      </c>
      <c r="E37" s="263" t="s">
        <v>61</v>
      </c>
      <c r="F37" s="262" t="s">
        <v>60</v>
      </c>
      <c r="G37" s="264" t="s">
        <v>61</v>
      </c>
      <c r="I37" s="265" t="s">
        <v>62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63</v>
      </c>
      <c r="B38" s="260">
        <v>25</v>
      </c>
      <c r="C38" s="266">
        <v>1</v>
      </c>
      <c r="D38" s="267">
        <v>28152268</v>
      </c>
      <c r="E38" s="268">
        <f>IF(ISBLANK(D38),"-",$D$48/$D$45*D38)</f>
        <v>27935488.608398829</v>
      </c>
      <c r="F38" s="267">
        <v>30899525</v>
      </c>
      <c r="G38" s="269">
        <f>IF(ISBLANK(F38),"-",$D$48/$F$45*F38)</f>
        <v>27740662.475158714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64</v>
      </c>
      <c r="B39" s="260">
        <v>1</v>
      </c>
      <c r="C39" s="271">
        <v>2</v>
      </c>
      <c r="D39" s="272">
        <v>28188704</v>
      </c>
      <c r="E39" s="273">
        <f>IF(ISBLANK(D39),"-",$D$48/$D$45*D39)</f>
        <v>27971644.042232282</v>
      </c>
      <c r="F39" s="272">
        <v>31124178</v>
      </c>
      <c r="G39" s="274">
        <f>IF(ISBLANK(F39),"-",$D$48/$F$45*F39)</f>
        <v>27942349.169275593</v>
      </c>
      <c r="I39" s="488">
        <f>ABS((F43/D43*D42)-F42)/D42</f>
        <v>2.9666318601923162E-3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65</v>
      </c>
      <c r="B40" s="260">
        <v>1</v>
      </c>
      <c r="C40" s="271">
        <v>3</v>
      </c>
      <c r="D40" s="272">
        <v>28168717</v>
      </c>
      <c r="E40" s="273">
        <f>IF(ISBLANK(D40),"-",$D$48/$D$45*D40)</f>
        <v>27951810.947050888</v>
      </c>
      <c r="F40" s="272">
        <v>31133650</v>
      </c>
      <c r="G40" s="274">
        <f>IF(ISBLANK(F40),"-",$D$48/$F$45*F40)</f>
        <v>27950852.845463648</v>
      </c>
      <c r="I40" s="488"/>
      <c r="L40" s="252"/>
      <c r="M40" s="252"/>
      <c r="N40" s="275"/>
    </row>
    <row r="41" spans="1:14" ht="27" customHeight="1" x14ac:dyDescent="0.4">
      <c r="A41" s="259" t="s">
        <v>66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67</v>
      </c>
      <c r="B42" s="260">
        <v>1</v>
      </c>
      <c r="C42" s="281" t="s">
        <v>68</v>
      </c>
      <c r="D42" s="282">
        <f>AVERAGE(D38:D41)</f>
        <v>28169896.333333332</v>
      </c>
      <c r="E42" s="283">
        <f>AVERAGE(E38:E41)</f>
        <v>27952981.199227333</v>
      </c>
      <c r="F42" s="282">
        <f>AVERAGE(F38:F41)</f>
        <v>31052451</v>
      </c>
      <c r="G42" s="284">
        <f>AVERAGE(G38:G41)</f>
        <v>27877954.829965983</v>
      </c>
      <c r="H42" s="285"/>
    </row>
    <row r="43" spans="1:14" ht="26.25" customHeight="1" x14ac:dyDescent="0.4">
      <c r="A43" s="259" t="s">
        <v>69</v>
      </c>
      <c r="B43" s="260">
        <v>1</v>
      </c>
      <c r="C43" s="286" t="s">
        <v>70</v>
      </c>
      <c r="D43" s="287">
        <v>17</v>
      </c>
      <c r="E43" s="275"/>
      <c r="F43" s="287">
        <v>18.79</v>
      </c>
      <c r="H43" s="285"/>
    </row>
    <row r="44" spans="1:14" ht="26.25" customHeight="1" x14ac:dyDescent="0.4">
      <c r="A44" s="259" t="s">
        <v>71</v>
      </c>
      <c r="B44" s="260">
        <v>1</v>
      </c>
      <c r="C44" s="288" t="s">
        <v>72</v>
      </c>
      <c r="D44" s="289">
        <f>D43*$B$34</f>
        <v>17</v>
      </c>
      <c r="E44" s="290"/>
      <c r="F44" s="289">
        <f>F43*$B$34</f>
        <v>18.79</v>
      </c>
      <c r="H44" s="285"/>
    </row>
    <row r="45" spans="1:14" ht="19.5" customHeight="1" x14ac:dyDescent="0.3">
      <c r="A45" s="259" t="s">
        <v>73</v>
      </c>
      <c r="B45" s="291">
        <f>(B44/B43)*(B42/B41)*(B40/B39)*(B38/B37)*B36</f>
        <v>166.66666666666669</v>
      </c>
      <c r="C45" s="288" t="s">
        <v>74</v>
      </c>
      <c r="D45" s="292">
        <f>D44*$B$30/100</f>
        <v>16.795999999999999</v>
      </c>
      <c r="E45" s="293"/>
      <c r="F45" s="292">
        <f>F44*$B$30/100</f>
        <v>18.564519999999998</v>
      </c>
      <c r="H45" s="285"/>
    </row>
    <row r="46" spans="1:14" ht="19.5" customHeight="1" x14ac:dyDescent="0.3">
      <c r="A46" s="489" t="s">
        <v>75</v>
      </c>
      <c r="B46" s="490"/>
      <c r="C46" s="288" t="s">
        <v>76</v>
      </c>
      <c r="D46" s="294">
        <f>D45/$B$45</f>
        <v>0.10077599999999999</v>
      </c>
      <c r="E46" s="295"/>
      <c r="F46" s="296">
        <f>F45/$B$45</f>
        <v>0.11138711999999998</v>
      </c>
      <c r="H46" s="285"/>
    </row>
    <row r="47" spans="1:14" ht="27" customHeight="1" x14ac:dyDescent="0.4">
      <c r="A47" s="491"/>
      <c r="B47" s="492"/>
      <c r="C47" s="297" t="s">
        <v>77</v>
      </c>
      <c r="D47" s="298">
        <v>0.1</v>
      </c>
      <c r="E47" s="299"/>
      <c r="F47" s="295"/>
      <c r="H47" s="285"/>
    </row>
    <row r="48" spans="1:14" ht="18.75" x14ac:dyDescent="0.3">
      <c r="C48" s="300" t="s">
        <v>78</v>
      </c>
      <c r="D48" s="292">
        <f>D47*$B$45</f>
        <v>16.666666666666668</v>
      </c>
      <c r="F48" s="301"/>
      <c r="H48" s="285"/>
    </row>
    <row r="49" spans="1:12" ht="19.5" customHeight="1" x14ac:dyDescent="0.3">
      <c r="C49" s="302" t="s">
        <v>79</v>
      </c>
      <c r="D49" s="303">
        <f>D48/B34</f>
        <v>16.666666666666668</v>
      </c>
      <c r="F49" s="301"/>
      <c r="H49" s="285"/>
    </row>
    <row r="50" spans="1:12" ht="18.75" x14ac:dyDescent="0.3">
      <c r="C50" s="257" t="s">
        <v>80</v>
      </c>
      <c r="D50" s="304">
        <f>AVERAGE(E38:E41,G38:G41)</f>
        <v>27915468.01459666</v>
      </c>
      <c r="F50" s="305"/>
      <c r="H50" s="285"/>
    </row>
    <row r="51" spans="1:12" ht="18.75" x14ac:dyDescent="0.3">
      <c r="C51" s="259" t="s">
        <v>81</v>
      </c>
      <c r="D51" s="306">
        <f>STDEV(E38:E41,G38:G41)/D50</f>
        <v>3.0985489153447644E-3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82</v>
      </c>
    </row>
    <row r="55" spans="1:12" ht="18.75" x14ac:dyDescent="0.3">
      <c r="A55" s="234" t="s">
        <v>83</v>
      </c>
      <c r="B55" s="311" t="str">
        <f>B21</f>
        <v>Each tablet contains Lamivudine 300mg and Tenofovir Disoproxil Fumarate 300mg</v>
      </c>
    </row>
    <row r="56" spans="1:12" ht="26.25" customHeight="1" x14ac:dyDescent="0.4">
      <c r="A56" s="312" t="s">
        <v>84</v>
      </c>
      <c r="B56" s="313">
        <v>300</v>
      </c>
      <c r="C56" s="234" t="str">
        <f>B20</f>
        <v>Lamivudine and Tenofovir Disoproxil Fumarate</v>
      </c>
      <c r="H56" s="314"/>
    </row>
    <row r="57" spans="1:12" ht="18.75" x14ac:dyDescent="0.3">
      <c r="A57" s="311" t="s">
        <v>85</v>
      </c>
      <c r="B57" s="403">
        <f>Uniformity!C46</f>
        <v>867.59550000000013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86</v>
      </c>
      <c r="B59" s="258">
        <v>50</v>
      </c>
      <c r="C59" s="234"/>
      <c r="D59" s="315" t="s">
        <v>87</v>
      </c>
      <c r="E59" s="316" t="s">
        <v>59</v>
      </c>
      <c r="F59" s="316" t="s">
        <v>60</v>
      </c>
      <c r="G59" s="316" t="s">
        <v>88</v>
      </c>
      <c r="H59" s="261" t="s">
        <v>89</v>
      </c>
      <c r="L59" s="247"/>
    </row>
    <row r="60" spans="1:12" s="3" customFormat="1" ht="26.25" customHeight="1" x14ac:dyDescent="0.4">
      <c r="A60" s="259" t="s">
        <v>90</v>
      </c>
      <c r="B60" s="260">
        <v>5</v>
      </c>
      <c r="C60" s="493" t="s">
        <v>91</v>
      </c>
      <c r="D60" s="496">
        <v>144.21</v>
      </c>
      <c r="E60" s="317">
        <v>1</v>
      </c>
      <c r="F60" s="318">
        <v>26853445</v>
      </c>
      <c r="G60" s="404">
        <f>IF(ISBLANK(F60),"-",(F60/$D$50*$D$47*$B$68)*($B$57/$D$60))</f>
        <v>289.36567533923022</v>
      </c>
      <c r="H60" s="319">
        <f t="shared" ref="H60:H71" si="0">IF(ISBLANK(F60),"-",G60/$B$56)</f>
        <v>0.96455225113076737</v>
      </c>
      <c r="L60" s="247"/>
    </row>
    <row r="61" spans="1:12" s="3" customFormat="1" ht="26.25" customHeight="1" x14ac:dyDescent="0.4">
      <c r="A61" s="259" t="s">
        <v>92</v>
      </c>
      <c r="B61" s="260">
        <v>50</v>
      </c>
      <c r="C61" s="494"/>
      <c r="D61" s="497"/>
      <c r="E61" s="320">
        <v>2</v>
      </c>
      <c r="F61" s="272">
        <v>26996512</v>
      </c>
      <c r="G61" s="405">
        <f>IF(ISBLANK(F61),"-",(F61/$D$50*$D$47*$B$68)*($B$57/$D$60))</f>
        <v>290.90732778172901</v>
      </c>
      <c r="H61" s="321">
        <f t="shared" si="0"/>
        <v>0.96969109260576336</v>
      </c>
      <c r="L61" s="247"/>
    </row>
    <row r="62" spans="1:12" s="3" customFormat="1" ht="26.25" customHeight="1" x14ac:dyDescent="0.4">
      <c r="A62" s="259" t="s">
        <v>93</v>
      </c>
      <c r="B62" s="260">
        <v>1</v>
      </c>
      <c r="C62" s="494"/>
      <c r="D62" s="497"/>
      <c r="E62" s="320">
        <v>3</v>
      </c>
      <c r="F62" s="322">
        <v>26819719</v>
      </c>
      <c r="G62" s="405">
        <f>IF(ISBLANK(F62),"-",(F62/$D$50*$D$47*$B$68)*($B$57/$D$60))</f>
        <v>289.00225281498837</v>
      </c>
      <c r="H62" s="321">
        <f t="shared" si="0"/>
        <v>0.9633408427166279</v>
      </c>
      <c r="L62" s="247"/>
    </row>
    <row r="63" spans="1:12" ht="27" customHeight="1" x14ac:dyDescent="0.4">
      <c r="A63" s="259" t="s">
        <v>94</v>
      </c>
      <c r="B63" s="260">
        <v>1</v>
      </c>
      <c r="C63" s="495"/>
      <c r="D63" s="498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95</v>
      </c>
      <c r="B64" s="260">
        <v>1</v>
      </c>
      <c r="C64" s="493" t="s">
        <v>96</v>
      </c>
      <c r="D64" s="496">
        <v>145.12</v>
      </c>
      <c r="E64" s="317">
        <v>1</v>
      </c>
      <c r="F64" s="318">
        <v>27175936</v>
      </c>
      <c r="G64" s="406">
        <f>IF(ISBLANK(F64),"-",(F64/$D$50*$D$47*$B$68)*($B$57/$D$64))</f>
        <v>291.0044452390199</v>
      </c>
      <c r="H64" s="325">
        <f t="shared" si="0"/>
        <v>0.97001481746339968</v>
      </c>
    </row>
    <row r="65" spans="1:8" ht="26.25" customHeight="1" x14ac:dyDescent="0.4">
      <c r="A65" s="259" t="s">
        <v>97</v>
      </c>
      <c r="B65" s="260">
        <v>1</v>
      </c>
      <c r="C65" s="494"/>
      <c r="D65" s="497"/>
      <c r="E65" s="320">
        <v>2</v>
      </c>
      <c r="F65" s="272">
        <v>27034109</v>
      </c>
      <c r="G65" s="407">
        <f>IF(ISBLANK(F65),"-",(F65/$D$50*$D$47*$B$68)*($B$57/$D$64))</f>
        <v>289.48573812052672</v>
      </c>
      <c r="H65" s="326">
        <f t="shared" si="0"/>
        <v>0.96495246040175575</v>
      </c>
    </row>
    <row r="66" spans="1:8" ht="26.25" customHeight="1" x14ac:dyDescent="0.4">
      <c r="A66" s="259" t="s">
        <v>98</v>
      </c>
      <c r="B66" s="260">
        <v>1</v>
      </c>
      <c r="C66" s="494"/>
      <c r="D66" s="497"/>
      <c r="E66" s="320">
        <v>3</v>
      </c>
      <c r="F66" s="272">
        <v>27118641</v>
      </c>
      <c r="G66" s="407">
        <f>IF(ISBLANK(F66),"-",(F66/$D$50*$D$47*$B$68)*($B$57/$D$64))</f>
        <v>290.39092084412982</v>
      </c>
      <c r="H66" s="326">
        <f t="shared" si="0"/>
        <v>0.96796973614709936</v>
      </c>
    </row>
    <row r="67" spans="1:8" ht="27" customHeight="1" x14ac:dyDescent="0.4">
      <c r="A67" s="259" t="s">
        <v>99</v>
      </c>
      <c r="B67" s="260">
        <v>1</v>
      </c>
      <c r="C67" s="495"/>
      <c r="D67" s="498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100</v>
      </c>
      <c r="B68" s="328">
        <f>(B67/B66)*(B65/B64)*(B63/B62)*(B61/B60)*B59</f>
        <v>500</v>
      </c>
      <c r="C68" s="493" t="s">
        <v>101</v>
      </c>
      <c r="D68" s="496">
        <v>144.96</v>
      </c>
      <c r="E68" s="317">
        <v>1</v>
      </c>
      <c r="F68" s="318">
        <v>27074224</v>
      </c>
      <c r="G68" s="406">
        <f>IF(ISBLANK(F68),"-",(F68/$D$50*$D$47*$B$68)*($B$57/$D$68))</f>
        <v>290.23529102455012</v>
      </c>
      <c r="H68" s="321">
        <f t="shared" si="0"/>
        <v>0.96745097008183378</v>
      </c>
    </row>
    <row r="69" spans="1:8" ht="27" customHeight="1" x14ac:dyDescent="0.4">
      <c r="A69" s="307" t="s">
        <v>102</v>
      </c>
      <c r="B69" s="329">
        <f>(D47*B68)/B56*B57</f>
        <v>144.59925000000001</v>
      </c>
      <c r="C69" s="494"/>
      <c r="D69" s="497"/>
      <c r="E69" s="320">
        <v>2</v>
      </c>
      <c r="F69" s="272">
        <v>27185532</v>
      </c>
      <c r="G69" s="407">
        <f>IF(ISBLANK(F69),"-",(F69/$D$50*$D$47*$B$68)*($B$57/$D$68))</f>
        <v>291.42851118012538</v>
      </c>
      <c r="H69" s="321">
        <f t="shared" si="0"/>
        <v>0.97142837060041798</v>
      </c>
    </row>
    <row r="70" spans="1:8" ht="26.25" customHeight="1" x14ac:dyDescent="0.4">
      <c r="A70" s="506" t="s">
        <v>75</v>
      </c>
      <c r="B70" s="507"/>
      <c r="C70" s="494"/>
      <c r="D70" s="497"/>
      <c r="E70" s="320">
        <v>3</v>
      </c>
      <c r="F70" s="272">
        <v>26993744</v>
      </c>
      <c r="G70" s="407">
        <f>IF(ISBLANK(F70),"-",(F70/$D$50*$D$47*$B$68)*($B$57/$D$68))</f>
        <v>289.37254658461137</v>
      </c>
      <c r="H70" s="321">
        <f t="shared" si="0"/>
        <v>0.96457515528203785</v>
      </c>
    </row>
    <row r="71" spans="1:8" ht="27" customHeight="1" x14ac:dyDescent="0.4">
      <c r="A71" s="508"/>
      <c r="B71" s="509"/>
      <c r="C71" s="505"/>
      <c r="D71" s="498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68</v>
      </c>
      <c r="G72" s="413">
        <f>AVERAGE(G60:G71)</f>
        <v>290.13252321432344</v>
      </c>
      <c r="H72" s="334">
        <f>AVERAGE(H60:H71)</f>
        <v>0.96710841071441145</v>
      </c>
    </row>
    <row r="73" spans="1:8" ht="26.25" customHeight="1" x14ac:dyDescent="0.4">
      <c r="C73" s="331"/>
      <c r="D73" s="331"/>
      <c r="E73" s="331"/>
      <c r="F73" s="335" t="s">
        <v>81</v>
      </c>
      <c r="G73" s="409">
        <f>STDEV(G60:G71)/G72</f>
        <v>2.9796892318775582E-3</v>
      </c>
      <c r="H73" s="409">
        <f>STDEV(H60:H71)/H72</f>
        <v>2.9796892318775707E-3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103</v>
      </c>
      <c r="B76" s="339" t="s">
        <v>104</v>
      </c>
      <c r="C76" s="501" t="str">
        <f>B20</f>
        <v>Lamivudine and Tenofovir Disoproxil Fumarate</v>
      </c>
      <c r="D76" s="501"/>
      <c r="E76" s="340" t="s">
        <v>105</v>
      </c>
      <c r="F76" s="340"/>
      <c r="G76" s="341">
        <f>H72</f>
        <v>0.96710841071441145</v>
      </c>
      <c r="H76" s="342"/>
    </row>
    <row r="77" spans="1:8" ht="18.75" x14ac:dyDescent="0.3">
      <c r="A77" s="242" t="s">
        <v>106</v>
      </c>
      <c r="B77" s="242" t="s">
        <v>107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487" t="str">
        <f>B26</f>
        <v>Tenofovir Disoproxil Fumurate</v>
      </c>
      <c r="C79" s="487"/>
    </row>
    <row r="80" spans="1:8" ht="26.25" customHeight="1" x14ac:dyDescent="0.4">
      <c r="A80" s="244" t="s">
        <v>45</v>
      </c>
      <c r="B80" s="487" t="str">
        <f>B27</f>
        <v>T11-6</v>
      </c>
      <c r="C80" s="487"/>
    </row>
    <row r="81" spans="1:12" ht="27" customHeight="1" x14ac:dyDescent="0.4">
      <c r="A81" s="244" t="s">
        <v>6</v>
      </c>
      <c r="B81" s="343">
        <f>B28</f>
        <v>98.8</v>
      </c>
    </row>
    <row r="82" spans="1:12" s="3" customFormat="1" ht="27" customHeight="1" x14ac:dyDescent="0.4">
      <c r="A82" s="244" t="s">
        <v>46</v>
      </c>
      <c r="B82" s="246">
        <v>0</v>
      </c>
      <c r="C82" s="478" t="s">
        <v>47</v>
      </c>
      <c r="D82" s="479"/>
      <c r="E82" s="479"/>
      <c r="F82" s="479"/>
      <c r="G82" s="480"/>
      <c r="I82" s="247"/>
      <c r="J82" s="247"/>
      <c r="K82" s="247"/>
      <c r="L82" s="247"/>
    </row>
    <row r="83" spans="1:12" s="3" customFormat="1" ht="19.5" customHeight="1" x14ac:dyDescent="0.3">
      <c r="A83" s="244" t="s">
        <v>48</v>
      </c>
      <c r="B83" s="248">
        <f>B81-B82</f>
        <v>98.8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49</v>
      </c>
      <c r="B84" s="251">
        <v>1</v>
      </c>
      <c r="C84" s="481" t="s">
        <v>108</v>
      </c>
      <c r="D84" s="482"/>
      <c r="E84" s="482"/>
      <c r="F84" s="482"/>
      <c r="G84" s="482"/>
      <c r="H84" s="483"/>
      <c r="I84" s="247"/>
      <c r="J84" s="247"/>
      <c r="K84" s="247"/>
      <c r="L84" s="247"/>
    </row>
    <row r="85" spans="1:12" s="3" customFormat="1" ht="27" customHeight="1" x14ac:dyDescent="0.4">
      <c r="A85" s="244" t="s">
        <v>51</v>
      </c>
      <c r="B85" s="251">
        <v>1</v>
      </c>
      <c r="C85" s="481" t="s">
        <v>109</v>
      </c>
      <c r="D85" s="482"/>
      <c r="E85" s="482"/>
      <c r="F85" s="482"/>
      <c r="G85" s="482"/>
      <c r="H85" s="483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53</v>
      </c>
      <c r="B87" s="256">
        <f>B84/B85</f>
        <v>1</v>
      </c>
      <c r="C87" s="234" t="s">
        <v>54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55</v>
      </c>
      <c r="B89" s="258">
        <v>20</v>
      </c>
      <c r="D89" s="344" t="s">
        <v>56</v>
      </c>
      <c r="E89" s="345"/>
      <c r="F89" s="484" t="s">
        <v>57</v>
      </c>
      <c r="G89" s="486"/>
    </row>
    <row r="90" spans="1:12" ht="27" customHeight="1" x14ac:dyDescent="0.4">
      <c r="A90" s="259" t="s">
        <v>58</v>
      </c>
      <c r="B90" s="260">
        <v>10</v>
      </c>
      <c r="C90" s="346" t="s">
        <v>59</v>
      </c>
      <c r="D90" s="262" t="s">
        <v>60</v>
      </c>
      <c r="E90" s="263" t="s">
        <v>61</v>
      </c>
      <c r="F90" s="262" t="s">
        <v>60</v>
      </c>
      <c r="G90" s="347" t="s">
        <v>61</v>
      </c>
      <c r="I90" s="265" t="s">
        <v>62</v>
      </c>
    </row>
    <row r="91" spans="1:12" ht="26.25" customHeight="1" x14ac:dyDescent="0.4">
      <c r="A91" s="259" t="s">
        <v>63</v>
      </c>
      <c r="B91" s="260">
        <v>25</v>
      </c>
      <c r="C91" s="348">
        <v>1</v>
      </c>
      <c r="D91" s="267">
        <v>89879603</v>
      </c>
      <c r="E91" s="268">
        <f>IF(ISBLANK(D91),"-",$D$101/$D$98*D91)</f>
        <v>89187507.938398018</v>
      </c>
      <c r="F91" s="267">
        <v>98563420</v>
      </c>
      <c r="G91" s="269">
        <f>IF(ISBLANK(F91),"-",$D$101/$F$98*F91)</f>
        <v>88487268.545950368</v>
      </c>
      <c r="I91" s="270"/>
    </row>
    <row r="92" spans="1:12" ht="26.25" customHeight="1" x14ac:dyDescent="0.4">
      <c r="A92" s="259" t="s">
        <v>64</v>
      </c>
      <c r="B92" s="260">
        <v>1</v>
      </c>
      <c r="C92" s="332">
        <v>2</v>
      </c>
      <c r="D92" s="272">
        <v>89709705</v>
      </c>
      <c r="E92" s="273">
        <f>IF(ISBLANK(D92),"-",$D$101/$D$98*D92)</f>
        <v>89018918.194808275</v>
      </c>
      <c r="F92" s="272">
        <v>98621604</v>
      </c>
      <c r="G92" s="274">
        <f>IF(ISBLANK(F92),"-",$D$101/$F$98*F92)</f>
        <v>88539504.387940004</v>
      </c>
      <c r="I92" s="488">
        <f>ABS((F96/D96*D95)-F95)/D95</f>
        <v>6.9671290413655402E-3</v>
      </c>
    </row>
    <row r="93" spans="1:12" ht="26.25" customHeight="1" x14ac:dyDescent="0.4">
      <c r="A93" s="259" t="s">
        <v>65</v>
      </c>
      <c r="B93" s="260">
        <v>1</v>
      </c>
      <c r="C93" s="332">
        <v>3</v>
      </c>
      <c r="D93" s="272">
        <v>89464269</v>
      </c>
      <c r="E93" s="273">
        <f>IF(ISBLANK(D93),"-",$D$101/$D$98*D93)</f>
        <v>88775372.112407714</v>
      </c>
      <c r="F93" s="272">
        <v>98323781</v>
      </c>
      <c r="G93" s="274">
        <f>IF(ISBLANK(F93),"-",$D$101/$F$98*F93)</f>
        <v>88272127.872594237</v>
      </c>
      <c r="I93" s="488"/>
    </row>
    <row r="94" spans="1:12" ht="27" customHeight="1" x14ac:dyDescent="0.4">
      <c r="A94" s="259" t="s">
        <v>66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67</v>
      </c>
      <c r="B95" s="260">
        <v>1</v>
      </c>
      <c r="C95" s="351" t="s">
        <v>68</v>
      </c>
      <c r="D95" s="352">
        <f>AVERAGE(D91:D94)</f>
        <v>89684525.666666672</v>
      </c>
      <c r="E95" s="283">
        <f>AVERAGE(E91:E94)</f>
        <v>88993932.748538002</v>
      </c>
      <c r="F95" s="353">
        <f>AVERAGE(F91:F94)</f>
        <v>98502935</v>
      </c>
      <c r="G95" s="354">
        <f>AVERAGE(G91:G94)</f>
        <v>88432966.93549487</v>
      </c>
    </row>
    <row r="96" spans="1:12" ht="26.25" customHeight="1" x14ac:dyDescent="0.4">
      <c r="A96" s="259" t="s">
        <v>69</v>
      </c>
      <c r="B96" s="245">
        <v>1</v>
      </c>
      <c r="C96" s="355" t="s">
        <v>110</v>
      </c>
      <c r="D96" s="356">
        <v>17</v>
      </c>
      <c r="E96" s="275"/>
      <c r="F96" s="287">
        <v>18.79</v>
      </c>
    </row>
    <row r="97" spans="1:10" ht="26.25" customHeight="1" x14ac:dyDescent="0.4">
      <c r="A97" s="259" t="s">
        <v>71</v>
      </c>
      <c r="B97" s="245">
        <v>1</v>
      </c>
      <c r="C97" s="357" t="s">
        <v>111</v>
      </c>
      <c r="D97" s="358">
        <f>D96*$B$87</f>
        <v>17</v>
      </c>
      <c r="E97" s="290"/>
      <c r="F97" s="289">
        <f>F96*$B$87</f>
        <v>18.79</v>
      </c>
    </row>
    <row r="98" spans="1:10" ht="19.5" customHeight="1" x14ac:dyDescent="0.3">
      <c r="A98" s="259" t="s">
        <v>73</v>
      </c>
      <c r="B98" s="359">
        <f>(B97/B96)*(B95/B94)*(B93/B92)*(B91/B90)*B89</f>
        <v>50</v>
      </c>
      <c r="C98" s="357" t="s">
        <v>112</v>
      </c>
      <c r="D98" s="360">
        <f>D97*$B$83/100</f>
        <v>16.795999999999999</v>
      </c>
      <c r="E98" s="293"/>
      <c r="F98" s="292">
        <f>F97*$B$83/100</f>
        <v>18.564519999999998</v>
      </c>
    </row>
    <row r="99" spans="1:10" ht="19.5" customHeight="1" x14ac:dyDescent="0.3">
      <c r="A99" s="489" t="s">
        <v>75</v>
      </c>
      <c r="B99" s="503"/>
      <c r="C99" s="357" t="s">
        <v>113</v>
      </c>
      <c r="D99" s="361">
        <f>D98/$B$98</f>
        <v>0.33592</v>
      </c>
      <c r="E99" s="293"/>
      <c r="F99" s="296">
        <f>F98/$B$98</f>
        <v>0.37129039999999996</v>
      </c>
      <c r="G99" s="362"/>
      <c r="H99" s="285"/>
    </row>
    <row r="100" spans="1:10" ht="19.5" customHeight="1" x14ac:dyDescent="0.3">
      <c r="A100" s="491"/>
      <c r="B100" s="504"/>
      <c r="C100" s="357" t="s">
        <v>77</v>
      </c>
      <c r="D100" s="363">
        <f>$B$56/$B$116</f>
        <v>0.33333333333333331</v>
      </c>
      <c r="F100" s="301"/>
      <c r="G100" s="364"/>
      <c r="H100" s="285"/>
    </row>
    <row r="101" spans="1:10" ht="18.75" x14ac:dyDescent="0.3">
      <c r="C101" s="357" t="s">
        <v>78</v>
      </c>
      <c r="D101" s="358">
        <f>D100*$B$98</f>
        <v>16.666666666666664</v>
      </c>
      <c r="F101" s="301"/>
      <c r="G101" s="362"/>
      <c r="H101" s="285"/>
    </row>
    <row r="102" spans="1:10" ht="19.5" customHeight="1" x14ac:dyDescent="0.3">
      <c r="C102" s="365" t="s">
        <v>79</v>
      </c>
      <c r="D102" s="366">
        <f>D101/B34</f>
        <v>16.666666666666664</v>
      </c>
      <c r="F102" s="305"/>
      <c r="G102" s="362"/>
      <c r="H102" s="285"/>
      <c r="J102" s="367"/>
    </row>
    <row r="103" spans="1:10" ht="18.75" x14ac:dyDescent="0.3">
      <c r="C103" s="368" t="s">
        <v>114</v>
      </c>
      <c r="D103" s="369">
        <f>AVERAGE(E91:E94,G91:G94)</f>
        <v>88713449.842016444</v>
      </c>
      <c r="F103" s="305"/>
      <c r="G103" s="370"/>
      <c r="H103" s="285"/>
      <c r="J103" s="371"/>
    </row>
    <row r="104" spans="1:10" ht="18.75" x14ac:dyDescent="0.3">
      <c r="C104" s="335" t="s">
        <v>81</v>
      </c>
      <c r="D104" s="372">
        <f>STDEV(E91:E94,G91:G94)/D103</f>
        <v>3.8984917163728456E-3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115</v>
      </c>
      <c r="B107" s="258">
        <v>900</v>
      </c>
      <c r="C107" s="374" t="s">
        <v>116</v>
      </c>
      <c r="D107" s="375" t="s">
        <v>60</v>
      </c>
      <c r="E107" s="376" t="s">
        <v>117</v>
      </c>
      <c r="F107" s="377" t="s">
        <v>118</v>
      </c>
    </row>
    <row r="108" spans="1:10" ht="26.25" customHeight="1" x14ac:dyDescent="0.4">
      <c r="A108" s="259" t="s">
        <v>119</v>
      </c>
      <c r="B108" s="260">
        <v>1</v>
      </c>
      <c r="C108" s="378">
        <v>1</v>
      </c>
      <c r="D108" s="379">
        <v>86326600</v>
      </c>
      <c r="E108" s="410">
        <f t="shared" ref="E108:E113" si="1">IF(ISBLANK(D108),"-",D108/$D$103*$D$100*$B$116)</f>
        <v>291.92845105358765</v>
      </c>
      <c r="F108" s="380">
        <f t="shared" ref="F108:F113" si="2">IF(ISBLANK(D108), "-", E108/$B$56)</f>
        <v>0.97309483684529219</v>
      </c>
    </row>
    <row r="109" spans="1:10" ht="26.25" customHeight="1" x14ac:dyDescent="0.4">
      <c r="A109" s="259" t="s">
        <v>92</v>
      </c>
      <c r="B109" s="260">
        <v>1</v>
      </c>
      <c r="C109" s="378">
        <v>2</v>
      </c>
      <c r="D109" s="379">
        <v>87431763</v>
      </c>
      <c r="E109" s="411">
        <f t="shared" si="1"/>
        <v>295.66575245028042</v>
      </c>
      <c r="F109" s="381">
        <f t="shared" si="2"/>
        <v>0.98555250816760143</v>
      </c>
    </row>
    <row r="110" spans="1:10" ht="26.25" customHeight="1" x14ac:dyDescent="0.4">
      <c r="A110" s="259" t="s">
        <v>93</v>
      </c>
      <c r="B110" s="260">
        <v>1</v>
      </c>
      <c r="C110" s="378">
        <v>3</v>
      </c>
      <c r="D110" s="379">
        <v>85771516</v>
      </c>
      <c r="E110" s="411">
        <f t="shared" si="1"/>
        <v>290.05133771511919</v>
      </c>
      <c r="F110" s="381">
        <f t="shared" si="2"/>
        <v>0.96683779238373058</v>
      </c>
    </row>
    <row r="111" spans="1:10" ht="26.25" customHeight="1" x14ac:dyDescent="0.4">
      <c r="A111" s="259" t="s">
        <v>94</v>
      </c>
      <c r="B111" s="260">
        <v>1</v>
      </c>
      <c r="C111" s="378">
        <v>4</v>
      </c>
      <c r="D111" s="379">
        <v>87173131</v>
      </c>
      <c r="E111" s="411">
        <f t="shared" si="1"/>
        <v>294.79114324346705</v>
      </c>
      <c r="F111" s="381">
        <f t="shared" si="2"/>
        <v>0.98263714414489012</v>
      </c>
    </row>
    <row r="112" spans="1:10" ht="26.25" customHeight="1" x14ac:dyDescent="0.4">
      <c r="A112" s="259" t="s">
        <v>95</v>
      </c>
      <c r="B112" s="260">
        <v>1</v>
      </c>
      <c r="C112" s="378">
        <v>5</v>
      </c>
      <c r="D112" s="379">
        <v>87358538</v>
      </c>
      <c r="E112" s="411">
        <f t="shared" si="1"/>
        <v>295.41812934421114</v>
      </c>
      <c r="F112" s="381">
        <f t="shared" si="2"/>
        <v>0.98472709781403711</v>
      </c>
    </row>
    <row r="113" spans="1:10" ht="26.25" customHeight="1" x14ac:dyDescent="0.4">
      <c r="A113" s="259" t="s">
        <v>97</v>
      </c>
      <c r="B113" s="260">
        <v>1</v>
      </c>
      <c r="C113" s="382">
        <v>6</v>
      </c>
      <c r="D113" s="383">
        <v>86877590</v>
      </c>
      <c r="E113" s="412">
        <f t="shared" si="1"/>
        <v>293.79171981716706</v>
      </c>
      <c r="F113" s="384">
        <f t="shared" si="2"/>
        <v>0.97930573272389021</v>
      </c>
    </row>
    <row r="114" spans="1:10" ht="26.25" customHeight="1" x14ac:dyDescent="0.4">
      <c r="A114" s="259" t="s">
        <v>98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99</v>
      </c>
      <c r="B115" s="260">
        <v>1</v>
      </c>
      <c r="C115" s="378"/>
      <c r="D115" s="386" t="s">
        <v>68</v>
      </c>
      <c r="E115" s="414">
        <f>AVERAGE(E108:E113)</f>
        <v>293.60775560397207</v>
      </c>
      <c r="F115" s="387">
        <f>AVERAGE(F108:F113)</f>
        <v>0.97869251867990703</v>
      </c>
    </row>
    <row r="116" spans="1:10" ht="27" customHeight="1" x14ac:dyDescent="0.4">
      <c r="A116" s="259" t="s">
        <v>100</v>
      </c>
      <c r="B116" s="291">
        <f>(B115/B114)*(B113/B112)*(B111/B110)*(B109/B108)*B107</f>
        <v>900</v>
      </c>
      <c r="C116" s="388"/>
      <c r="D116" s="351" t="s">
        <v>81</v>
      </c>
      <c r="E116" s="389">
        <f>STDEV(E108:E113)/E115</f>
        <v>7.5262361657792206E-3</v>
      </c>
      <c r="F116" s="389">
        <f>STDEV(F108:F113)/F115</f>
        <v>7.5262361657792301E-3</v>
      </c>
      <c r="I116" s="233"/>
    </row>
    <row r="117" spans="1:10" ht="27" customHeight="1" x14ac:dyDescent="0.4">
      <c r="A117" s="489" t="s">
        <v>75</v>
      </c>
      <c r="B117" s="490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491"/>
      <c r="B118" s="492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103</v>
      </c>
      <c r="B120" s="339" t="s">
        <v>120</v>
      </c>
      <c r="C120" s="501" t="str">
        <f>B20</f>
        <v>Lamivudine and Tenofovir Disoproxil Fumarate</v>
      </c>
      <c r="D120" s="501"/>
      <c r="E120" s="340" t="s">
        <v>121</v>
      </c>
      <c r="F120" s="340"/>
      <c r="G120" s="341">
        <f>F115</f>
        <v>0.97869251867990703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502" t="s">
        <v>23</v>
      </c>
      <c r="C122" s="502"/>
      <c r="E122" s="346" t="s">
        <v>24</v>
      </c>
      <c r="F122" s="395"/>
      <c r="G122" s="502" t="s">
        <v>25</v>
      </c>
      <c r="H122" s="502"/>
    </row>
    <row r="123" spans="1:10" ht="69.95" customHeight="1" x14ac:dyDescent="0.3">
      <c r="A123" s="396" t="s">
        <v>26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27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TENO SST</vt:lpstr>
      <vt:lpstr>LAM SST </vt:lpstr>
      <vt:lpstr>Uniformity</vt:lpstr>
      <vt:lpstr>Lamivudine</vt:lpstr>
      <vt:lpstr>Tenofovir Disoproxil Fumarate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2016-05-18T07:30:47Z</cp:lastPrinted>
  <dcterms:created xsi:type="dcterms:W3CDTF">2005-07-05T10:19:27Z</dcterms:created>
  <dcterms:modified xsi:type="dcterms:W3CDTF">2016-05-26T09:08:08Z</dcterms:modified>
</cp:coreProperties>
</file>