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" sheetId="1" r:id="rId1"/>
    <sheet name="Uniformity" sheetId="3" r:id="rId2"/>
    <sheet name="torsemide assay" sheetId="4" r:id="rId3"/>
    <sheet name="TORSEMIDE uoc" sheetId="2" r:id="rId4"/>
  </sheets>
  <definedNames>
    <definedName name="_xlnm.Print_Area" localSheetId="1">Uniformity!$A$12:$H$54</definedName>
  </definedNames>
  <calcPr calcId="145621"/>
</workbook>
</file>

<file path=xl/calcChain.xml><?xml version="1.0" encoding="utf-8"?>
<calcChain xmlns="http://schemas.openxmlformats.org/spreadsheetml/2006/main">
  <c r="B42" i="1" l="1"/>
  <c r="B57" i="4"/>
  <c r="B21" i="1"/>
  <c r="C120" i="4"/>
  <c r="B116" i="4"/>
  <c r="D100" i="4"/>
  <c r="B98" i="4"/>
  <c r="F97" i="4"/>
  <c r="D97" i="4"/>
  <c r="F95" i="4"/>
  <c r="D95" i="4"/>
  <c r="G94" i="4"/>
  <c r="E94" i="4"/>
  <c r="B87" i="4"/>
  <c r="B81" i="4"/>
  <c r="B83" i="4" s="1"/>
  <c r="B80" i="4"/>
  <c r="B79" i="4"/>
  <c r="C76" i="4"/>
  <c r="H71" i="4"/>
  <c r="G71" i="4"/>
  <c r="B68" i="4"/>
  <c r="B69" i="4" s="1"/>
  <c r="H67" i="4"/>
  <c r="G67" i="4"/>
  <c r="H63" i="4"/>
  <c r="G63" i="4"/>
  <c r="C56" i="4"/>
  <c r="B55" i="4"/>
  <c r="B45" i="4"/>
  <c r="D48" i="4" s="1"/>
  <c r="F44" i="4"/>
  <c r="F42" i="4"/>
  <c r="D42" i="4"/>
  <c r="G41" i="4"/>
  <c r="E41" i="4"/>
  <c r="B34" i="4"/>
  <c r="D44" i="4" s="1"/>
  <c r="B30" i="4"/>
  <c r="C46" i="3"/>
  <c r="D50" i="3" s="1"/>
  <c r="C45" i="3"/>
  <c r="C19" i="3"/>
  <c r="C129" i="2"/>
  <c r="B125" i="2"/>
  <c r="F122" i="2"/>
  <c r="E122" i="2"/>
  <c r="F121" i="2"/>
  <c r="E121" i="2"/>
  <c r="F120" i="2"/>
  <c r="E120" i="2"/>
  <c r="F119" i="2"/>
  <c r="E119" i="2"/>
  <c r="F118" i="2"/>
  <c r="E118" i="2"/>
  <c r="F117" i="2"/>
  <c r="F124" i="2" s="1"/>
  <c r="E117" i="2"/>
  <c r="D109" i="2"/>
  <c r="D110" i="2" s="1"/>
  <c r="D111" i="2" s="1"/>
  <c r="B107" i="2"/>
  <c r="F104" i="2"/>
  <c r="D104" i="2"/>
  <c r="G103" i="2"/>
  <c r="E103" i="2"/>
  <c r="G102" i="2"/>
  <c r="E102" i="2"/>
  <c r="G101" i="2"/>
  <c r="E101" i="2"/>
  <c r="G100" i="2"/>
  <c r="G104" i="2" s="1"/>
  <c r="E100" i="2"/>
  <c r="D112" i="2" s="1"/>
  <c r="D113" i="2" s="1"/>
  <c r="B96" i="2"/>
  <c r="F106" i="2" s="1"/>
  <c r="F107" i="2" s="1"/>
  <c r="F108" i="2" s="1"/>
  <c r="B90" i="2"/>
  <c r="B89" i="2"/>
  <c r="B91" i="2" s="1"/>
  <c r="C74" i="2"/>
  <c r="B67" i="2"/>
  <c r="E65" i="2" s="1"/>
  <c r="G65" i="2" s="1"/>
  <c r="C56" i="2"/>
  <c r="B55" i="2"/>
  <c r="B45" i="2"/>
  <c r="D48" i="2" s="1"/>
  <c r="D49" i="2" s="1"/>
  <c r="F42" i="2"/>
  <c r="D42" i="2"/>
  <c r="G41" i="2"/>
  <c r="E41" i="2"/>
  <c r="G40" i="2"/>
  <c r="E40" i="2"/>
  <c r="G39" i="2"/>
  <c r="E39" i="2"/>
  <c r="G38" i="2"/>
  <c r="E38" i="2"/>
  <c r="B34" i="2"/>
  <c r="F44" i="2" s="1"/>
  <c r="F45" i="2" s="1"/>
  <c r="F46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E68" i="2" l="1"/>
  <c r="G68" i="2" s="1"/>
  <c r="E63" i="2"/>
  <c r="G63" i="2" s="1"/>
  <c r="E67" i="2"/>
  <c r="G67" i="2" s="1"/>
  <c r="E66" i="2"/>
  <c r="G66" i="2" s="1"/>
  <c r="E60" i="2"/>
  <c r="G60" i="2" s="1"/>
  <c r="E61" i="2"/>
  <c r="G61" i="2" s="1"/>
  <c r="E64" i="2"/>
  <c r="G64" i="2" s="1"/>
  <c r="C81" i="2" s="1"/>
  <c r="E59" i="2"/>
  <c r="G59" i="2" s="1"/>
  <c r="E62" i="2"/>
  <c r="G62" i="2" s="1"/>
  <c r="D50" i="2"/>
  <c r="D51" i="2" s="1"/>
  <c r="G42" i="2"/>
  <c r="I92" i="4"/>
  <c r="D101" i="4"/>
  <c r="D102" i="4" s="1"/>
  <c r="I39" i="4"/>
  <c r="D45" i="4"/>
  <c r="D46" i="4" s="1"/>
  <c r="F45" i="4"/>
  <c r="F46" i="4" s="1"/>
  <c r="D98" i="4"/>
  <c r="D49" i="4"/>
  <c r="E40" i="4"/>
  <c r="G40" i="4"/>
  <c r="F98" i="4"/>
  <c r="C50" i="3"/>
  <c r="D27" i="3"/>
  <c r="D31" i="3"/>
  <c r="D35" i="3"/>
  <c r="D39" i="3"/>
  <c r="D43" i="3"/>
  <c r="C49" i="3"/>
  <c r="D29" i="3"/>
  <c r="D37" i="3"/>
  <c r="D24" i="3"/>
  <c r="D28" i="3"/>
  <c r="D32" i="3"/>
  <c r="D36" i="3"/>
  <c r="D40" i="3"/>
  <c r="D49" i="3"/>
  <c r="D25" i="3"/>
  <c r="D33" i="3"/>
  <c r="D41" i="3"/>
  <c r="D26" i="3"/>
  <c r="D30" i="3"/>
  <c r="D34" i="3"/>
  <c r="D38" i="3"/>
  <c r="D42" i="3"/>
  <c r="B49" i="3"/>
  <c r="G129" i="2"/>
  <c r="F125" i="2"/>
  <c r="D52" i="2"/>
  <c r="G70" i="2"/>
  <c r="D44" i="2"/>
  <c r="D45" i="2" s="1"/>
  <c r="D46" i="2" s="1"/>
  <c r="D106" i="2"/>
  <c r="D107" i="2" s="1"/>
  <c r="D108" i="2" s="1"/>
  <c r="D114" i="2"/>
  <c r="F126" i="2"/>
  <c r="E42" i="2"/>
  <c r="E104" i="2"/>
  <c r="E72" i="2" l="1"/>
  <c r="G72" i="2"/>
  <c r="E70" i="2"/>
  <c r="F67" i="2" s="1"/>
  <c r="F65" i="2"/>
  <c r="F61" i="2"/>
  <c r="E93" i="4"/>
  <c r="E91" i="4"/>
  <c r="G92" i="4"/>
  <c r="E39" i="4"/>
  <c r="E92" i="4"/>
  <c r="D99" i="4"/>
  <c r="G39" i="4"/>
  <c r="G38" i="4"/>
  <c r="E38" i="4"/>
  <c r="D50" i="4" s="1"/>
  <c r="G93" i="4"/>
  <c r="G91" i="4"/>
  <c r="F99" i="4"/>
  <c r="C82" i="2"/>
  <c r="G71" i="2"/>
  <c r="C79" i="2"/>
  <c r="G74" i="2"/>
  <c r="F60" i="2" l="1"/>
  <c r="F64" i="2"/>
  <c r="F68" i="2"/>
  <c r="F62" i="2"/>
  <c r="F70" i="2" s="1"/>
  <c r="F71" i="2" s="1"/>
  <c r="F66" i="2"/>
  <c r="F59" i="2"/>
  <c r="F72" i="2" s="1"/>
  <c r="F63" i="2"/>
  <c r="E71" i="2"/>
  <c r="E95" i="4"/>
  <c r="G42" i="4"/>
  <c r="D52" i="4"/>
  <c r="E42" i="4"/>
  <c r="G95" i="4"/>
  <c r="D103" i="4"/>
  <c r="D105" i="4"/>
  <c r="G68" i="4"/>
  <c r="H68" i="4" s="1"/>
  <c r="D51" i="4"/>
  <c r="G69" i="4"/>
  <c r="H69" i="4" s="1"/>
  <c r="G66" i="4"/>
  <c r="H66" i="4" s="1"/>
  <c r="G64" i="4"/>
  <c r="H64" i="4" s="1"/>
  <c r="G60" i="4"/>
  <c r="G70" i="4"/>
  <c r="H70" i="4" s="1"/>
  <c r="G65" i="4"/>
  <c r="H65" i="4" s="1"/>
  <c r="G61" i="4"/>
  <c r="H61" i="4" s="1"/>
  <c r="G62" i="4"/>
  <c r="H62" i="4" s="1"/>
  <c r="C83" i="2"/>
  <c r="G74" i="4" l="1"/>
  <c r="G72" i="4"/>
  <c r="G73" i="4" s="1"/>
  <c r="H60" i="4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5" i="4" l="1"/>
  <c r="E116" i="4" s="1"/>
  <c r="E117" i="4"/>
  <c r="F108" i="4"/>
  <c r="H74" i="4"/>
  <c r="H72" i="4"/>
  <c r="F117" i="4" l="1"/>
  <c r="F115" i="4"/>
  <c r="G76" i="4"/>
  <c r="H73" i="4"/>
  <c r="G120" i="4" l="1"/>
  <c r="F116" i="4"/>
</calcChain>
</file>

<file path=xl/sharedStrings.xml><?xml version="1.0" encoding="utf-8"?>
<sst xmlns="http://schemas.openxmlformats.org/spreadsheetml/2006/main" count="393" uniqueCount="156">
  <si>
    <t>HPLC System Suitability Report</t>
  </si>
  <si>
    <t>Analysis Data</t>
  </si>
  <si>
    <t>Assay</t>
  </si>
  <si>
    <t>Sample(s)</t>
  </si>
  <si>
    <t>Reference Substance:</t>
  </si>
  <si>
    <t>TORTAS 10 TABLETS</t>
  </si>
  <si>
    <t>% age Purity:</t>
  </si>
  <si>
    <t>NDQB201604885</t>
  </si>
  <si>
    <t>Weight (mg):</t>
  </si>
  <si>
    <t>Torsemide USP</t>
  </si>
  <si>
    <t>Standard Conc (mg/mL):</t>
  </si>
  <si>
    <t>Each uncoated tablet contains Torsemide USP 10 mg</t>
  </si>
  <si>
    <t>2016-04-26 14:11:37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</si>
  <si>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</si>
  <si>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</si>
  <si>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</si>
  <si>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</si>
  <si>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</si>
  <si>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</si>
  <si>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</si>
  <si>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</si>
  <si>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</si>
  <si>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</si>
  <si>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</si>
  <si>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</si>
  <si>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</si>
  <si>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</si>
  <si>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</si>
  <si>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</si>
  <si>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</si>
  <si>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</si>
  <si>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</si>
  <si>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</si>
  <si>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</si>
  <si>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</si>
  <si>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</si>
  <si>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</si>
  <si>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</si>
  <si>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</si>
  <si>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</si>
  <si>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</si>
  <si>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</si>
  <si>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</si>
  <si>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</si>
  <si>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</si>
  <si>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</si>
  <si>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</si>
  <si>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</si>
  <si>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</si>
  <si>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</si>
  <si>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</si>
  <si>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</si>
  <si>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</si>
  <si>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</si>
  <si>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</si>
  <si>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</si>
  <si>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</si>
  <si>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</si>
  <si>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</si>
  <si>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</si>
  <si>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</si>
  <si>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</si>
  <si>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</si>
  <si>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</si>
  <si>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</si>
  <si>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</si>
  <si>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</si>
  <si>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</si>
  <si>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</si>
  <si>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</si>
  <si>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</si>
  <si>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</si>
  <si>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</si>
  <si>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</si>
  <si>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</si>
  <si>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</si>
  <si>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</si>
  <si>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</si>
  <si>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</si>
  <si>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</si>
  <si>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</si>
  <si>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</si>
  <si>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</si>
  <si>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</si>
  <si>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</si>
  <si>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</si>
  <si>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</si>
  <si>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</si>
  <si>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</si>
  <si>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</si>
  <si>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</si>
  <si>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</si>
  <si>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</si>
  <si>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</si>
  <si>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</si>
  <si>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</si>
  <si>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</si>
  <si>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</si>
  <si>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</si>
  <si>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</si>
  <si>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</si>
  <si>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</si>
  <si>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</si>
  <si>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</si>
  <si>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</si>
  <si>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</si>
  <si>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</si>
  <si>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</si>
  <si>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</si>
  <si>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</si>
  <si>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</si>
  <si>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</si>
  <si>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</si>
  <si>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</si>
  <si>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</si>
  <si>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</si>
  <si>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Uniformity of Weight Test Report</t>
  </si>
  <si>
    <t>BETACOR PLUS TABLETS</t>
  </si>
  <si>
    <t>NDQD201512641</t>
  </si>
  <si>
    <t>Betamethasone
Dexchlorpheniramine</t>
  </si>
  <si>
    <t>Each tablet contains:
Betamethasone 0.25 mg
Dexchlorpheniramine Maleate 25 mg</t>
  </si>
  <si>
    <t>2015-12-18 09:07:28</t>
  </si>
  <si>
    <t>Uniformity of weight</t>
  </si>
  <si>
    <t>Tablet weight (mg)</t>
  </si>
  <si>
    <t>% Deviation</t>
  </si>
  <si>
    <t>Total</t>
  </si>
  <si>
    <t>% Deviation from mean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</si>
  <si>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</si>
  <si>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</si>
  <si>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</si>
  <si>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</si>
  <si>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</si>
  <si>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</si>
  <si>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</si>
  <si>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</si>
  <si>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</si>
  <si>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</si>
  <si>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</si>
  <si>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</si>
  <si>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</si>
  <si>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</si>
  <si>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</si>
  <si>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</si>
  <si>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</si>
  <si>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</si>
  <si>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</si>
  <si>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</si>
  <si>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</si>
  <si>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</si>
  <si>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Capsule No.</t>
  </si>
  <si>
    <t>torsemide</t>
  </si>
  <si>
    <t>NDQD201604885</t>
  </si>
  <si>
    <t>Torsemide</t>
  </si>
  <si>
    <t>Torsemide USP 10 MG</t>
  </si>
  <si>
    <t>T</t>
  </si>
  <si>
    <t>UNIFORMITY OF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</si>
</sst>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%&quot;"/>
    <numFmt numFmtId="170" formatCode="0.0000"/>
    <numFmt numFmtId="171" formatCode="[$-409]d/mmm/yy;@"/>
    <numFmt numFmtId="172" formatCode="dd\-mmm\-yyyy"/>
    <numFmt numFmtId="173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  <font>
      <sz val="10"/>
      <color rgb="FF000000"/>
      <name val="Arial"/>
    </font>
    <font>
      <b/>
      <i/>
      <sz val="10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b/>
      <u/>
      <sz val="16"/>
      <color rgb="FF000000"/>
      <name val="Book Antiqua"/>
    </font>
    <font>
      <b/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0" fillId="2" borderId="0"/>
    <xf numFmtId="0" fontId="20" fillId="2" borderId="0"/>
  </cellStyleXfs>
  <cellXfs count="51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0" fontId="10" fillId="2" borderId="0" xfId="0" applyFont="1" applyFill="1"/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>
      <alignment horizontal="center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168" fontId="8" fillId="2" borderId="18" xfId="0" applyNumberFormat="1" applyFont="1" applyFill="1" applyBorder="1" applyAlignment="1">
      <alignment horizontal="center"/>
    </xf>
    <xf numFmtId="168" fontId="8" fillId="2" borderId="19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15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11" fillId="3" borderId="25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1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0" fontId="11" fillId="3" borderId="33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168" fontId="9" fillId="7" borderId="3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7" borderId="36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39" xfId="0" applyFont="1" applyFill="1" applyBorder="1" applyAlignment="1">
      <alignment horizontal="center"/>
    </xf>
    <xf numFmtId="0" fontId="9" fillId="7" borderId="4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41" xfId="0" applyFont="1" applyFill="1" applyBorder="1" applyAlignment="1">
      <alignment horizontal="center" wrapText="1"/>
    </xf>
    <xf numFmtId="0" fontId="9" fillId="7" borderId="16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2" fontId="8" fillId="2" borderId="29" xfId="0" applyNumberFormat="1" applyFont="1" applyFill="1" applyBorder="1" applyAlignment="1">
      <alignment horizontal="center"/>
    </xf>
    <xf numFmtId="2" fontId="8" fillId="2" borderId="42" xfId="0" applyNumberFormat="1" applyFont="1" applyFill="1" applyBorder="1" applyAlignment="1">
      <alignment horizontal="center"/>
    </xf>
    <xf numFmtId="2" fontId="8" fillId="2" borderId="4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2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44" xfId="0" applyNumberFormat="1" applyFont="1" applyFill="1" applyBorder="1" applyAlignment="1">
      <alignment horizontal="center"/>
    </xf>
    <xf numFmtId="2" fontId="11" fillId="5" borderId="44" xfId="0" applyNumberFormat="1" applyFont="1" applyFill="1" applyBorder="1" applyAlignment="1">
      <alignment horizontal="center"/>
    </xf>
    <xf numFmtId="10" fontId="9" fillId="6" borderId="44" xfId="0" applyNumberFormat="1" applyFont="1" applyFill="1" applyBorder="1" applyAlignment="1">
      <alignment horizontal="center"/>
    </xf>
    <xf numFmtId="10" fontId="11" fillId="6" borderId="44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45" xfId="0" applyNumberFormat="1" applyFont="1" applyFill="1" applyBorder="1" applyAlignment="1">
      <alignment horizontal="center"/>
    </xf>
    <xf numFmtId="2" fontId="11" fillId="5" borderId="45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9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5" fillId="2" borderId="0" xfId="0" applyFont="1" applyFill="1"/>
    <xf numFmtId="0" fontId="11" fillId="3" borderId="16" xfId="0" applyFont="1" applyFill="1" applyBorder="1" applyAlignment="1" applyProtection="1">
      <alignment horizontal="center"/>
      <protection locked="0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1" fillId="3" borderId="47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11" fillId="3" borderId="0" xfId="0" applyNumberFormat="1" applyFont="1" applyFill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168" fontId="11" fillId="3" borderId="7" xfId="0" applyNumberFormat="1" applyFont="1" applyFill="1" applyBorder="1" applyAlignment="1" applyProtection="1">
      <alignment horizontal="center"/>
      <protection locked="0"/>
    </xf>
    <xf numFmtId="168" fontId="9" fillId="6" borderId="48" xfId="0" applyNumberFormat="1" applyFont="1" applyFill="1" applyBorder="1" applyAlignment="1">
      <alignment horizontal="center"/>
    </xf>
    <xf numFmtId="168" fontId="9" fillId="6" borderId="36" xfId="0" applyNumberFormat="1" applyFont="1" applyFill="1" applyBorder="1" applyAlignment="1">
      <alignment horizontal="center"/>
    </xf>
    <xf numFmtId="0" fontId="11" fillId="3" borderId="49" xfId="0" applyFont="1" applyFill="1" applyBorder="1" applyAlignment="1" applyProtection="1">
      <alignment horizontal="center"/>
      <protection locked="0"/>
    </xf>
    <xf numFmtId="2" fontId="8" fillId="6" borderId="44" xfId="0" applyNumberFormat="1" applyFont="1" applyFill="1" applyBorder="1" applyAlignment="1">
      <alignment horizontal="center"/>
    </xf>
    <xf numFmtId="2" fontId="8" fillId="7" borderId="44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7" xfId="0" applyFont="1" applyFill="1" applyBorder="1" applyAlignment="1">
      <alignment horizontal="right"/>
    </xf>
    <xf numFmtId="170" fontId="8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19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68" fontId="9" fillId="7" borderId="3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10" fontId="9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9" fillId="7" borderId="34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/>
    <xf numFmtId="0" fontId="9" fillId="2" borderId="16" xfId="0" applyFont="1" applyFill="1" applyBorder="1" applyAlignment="1">
      <alignment horizontal="center" wrapText="1"/>
    </xf>
    <xf numFmtId="168" fontId="11" fillId="3" borderId="23" xfId="0" applyNumberFormat="1" applyFont="1" applyFill="1" applyBorder="1" applyAlignment="1" applyProtection="1">
      <alignment horizontal="center"/>
      <protection locked="0"/>
    </xf>
    <xf numFmtId="2" fontId="8" fillId="2" borderId="18" xfId="0" applyNumberFormat="1" applyFont="1" applyFill="1" applyBorder="1" applyAlignment="1">
      <alignment horizontal="center"/>
    </xf>
    <xf numFmtId="10" fontId="8" fillId="2" borderId="19" xfId="0" applyNumberFormat="1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168" fontId="11" fillId="3" borderId="26" xfId="0" applyNumberFormat="1" applyFont="1" applyFill="1" applyBorder="1" applyAlignment="1" applyProtection="1">
      <alignment horizontal="center"/>
      <protection locked="0"/>
    </xf>
    <xf numFmtId="2" fontId="8" fillId="2" borderId="26" xfId="0" applyNumberFormat="1" applyFont="1" applyFill="1" applyBorder="1" applyAlignment="1">
      <alignment horizontal="center"/>
    </xf>
    <xf numFmtId="10" fontId="8" fillId="2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1" fillId="7" borderId="44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8" xfId="0" applyFont="1" applyFill="1" applyBorder="1"/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right"/>
    </xf>
    <xf numFmtId="0" fontId="11" fillId="7" borderId="34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left"/>
      <protection locked="0"/>
    </xf>
    <xf numFmtId="0" fontId="9" fillId="2" borderId="10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0" fontId="10" fillId="3" borderId="4" xfId="0" applyFont="1" applyFill="1" applyBorder="1" applyAlignment="1" applyProtection="1">
      <alignment horizontal="center" wrapText="1"/>
      <protection locked="0"/>
    </xf>
    <xf numFmtId="0" fontId="10" fillId="3" borderId="3" xfId="0" applyFont="1" applyFill="1" applyBorder="1" applyAlignment="1" applyProtection="1">
      <alignment horizontal="center" wrapText="1"/>
      <protection locked="0"/>
    </xf>
    <xf numFmtId="0" fontId="10" fillId="3" borderId="42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center"/>
    </xf>
    <xf numFmtId="0" fontId="14" fillId="2" borderId="5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54" xfId="0" applyFont="1" applyFill="1" applyBorder="1" applyAlignment="1">
      <alignment horizontal="left" vertical="center" wrapText="1"/>
    </xf>
    <xf numFmtId="0" fontId="14" fillId="2" borderId="55" xfId="0" applyFont="1" applyFill="1" applyBorder="1" applyAlignment="1">
      <alignment horizontal="left" vertical="center" wrapText="1"/>
    </xf>
    <xf numFmtId="0" fontId="14" fillId="2" borderId="57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  <xf numFmtId="0" fontId="14" fillId="2" borderId="54" xfId="0" applyFont="1" applyFill="1" applyBorder="1" applyAlignment="1">
      <alignment horizontal="justify" vertical="center" wrapText="1"/>
    </xf>
    <xf numFmtId="0" fontId="14" fillId="2" borderId="55" xfId="0" applyFont="1" applyFill="1" applyBorder="1" applyAlignment="1">
      <alignment horizontal="justify" vertical="center" wrapText="1"/>
    </xf>
    <xf numFmtId="0" fontId="14" fillId="2" borderId="57" xfId="0" applyFont="1" applyFill="1" applyBorder="1" applyAlignment="1">
      <alignment horizontal="justify" vertical="center" wrapText="1"/>
    </xf>
    <xf numFmtId="0" fontId="1" fillId="2" borderId="0" xfId="1" applyFont="1" applyFill="1"/>
    <xf numFmtId="0" fontId="21" fillId="2" borderId="54" xfId="1" applyFont="1" applyFill="1" applyBorder="1" applyAlignment="1">
      <alignment horizontal="center" wrapText="1"/>
    </xf>
    <xf numFmtId="0" fontId="21" fillId="2" borderId="55" xfId="1" applyFont="1" applyFill="1" applyBorder="1" applyAlignment="1">
      <alignment horizontal="center" wrapText="1"/>
    </xf>
    <xf numFmtId="0" fontId="21" fillId="2" borderId="57" xfId="1" applyFont="1" applyFill="1" applyBorder="1" applyAlignment="1">
      <alignment horizontal="center" wrapText="1"/>
    </xf>
    <xf numFmtId="0" fontId="21" fillId="2" borderId="0" xfId="1" applyFont="1" applyFill="1" applyAlignment="1">
      <alignment wrapText="1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5" fillId="2" borderId="0" xfId="1" applyFont="1" applyFill="1" applyAlignment="1">
      <alignment horizontal="right"/>
    </xf>
    <xf numFmtId="0" fontId="6" fillId="2" borderId="0" xfId="1" applyFont="1" applyFill="1"/>
    <xf numFmtId="171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71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2" fillId="2" borderId="0" xfId="1" applyFont="1" applyFill="1"/>
    <xf numFmtId="164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164" fontId="5" fillId="2" borderId="58" xfId="1" applyNumberFormat="1" applyFont="1" applyFill="1" applyBorder="1" applyAlignment="1">
      <alignment horizontal="center" wrapText="1"/>
    </xf>
    <xf numFmtId="0" fontId="5" fillId="2" borderId="58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59" xfId="1" applyNumberFormat="1" applyFont="1" applyFill="1" applyBorder="1" applyProtection="1">
      <protection locked="0"/>
    </xf>
    <xf numFmtId="10" fontId="6" fillId="2" borderId="37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59" xfId="1" applyNumberFormat="1" applyFont="1" applyFill="1" applyBorder="1" applyAlignment="1">
      <alignment horizontal="center"/>
    </xf>
    <xf numFmtId="2" fontId="6" fillId="3" borderId="36" xfId="1" applyNumberFormat="1" applyFont="1" applyFill="1" applyBorder="1" applyProtection="1">
      <protection locked="0"/>
    </xf>
    <xf numFmtId="10" fontId="6" fillId="2" borderId="36" xfId="1" applyNumberFormat="1" applyFont="1" applyFill="1" applyBorder="1" applyAlignment="1">
      <alignment horizontal="center"/>
    </xf>
    <xf numFmtId="170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58" xfId="1" applyFont="1" applyFill="1" applyBorder="1" applyAlignment="1">
      <alignment horizontal="right" vertical="center"/>
    </xf>
    <xf numFmtId="170" fontId="6" fillId="2" borderId="58" xfId="1" applyNumberFormat="1" applyFont="1" applyFill="1" applyBorder="1" applyAlignment="1">
      <alignment horizontal="center" vertical="center"/>
    </xf>
    <xf numFmtId="170" fontId="6" fillId="2" borderId="0" xfId="1" applyNumberFormat="1" applyFont="1" applyFill="1" applyAlignment="1">
      <alignment horizontal="center"/>
    </xf>
    <xf numFmtId="164" fontId="5" fillId="2" borderId="58" xfId="1" applyNumberFormat="1" applyFont="1" applyFill="1" applyBorder="1" applyAlignment="1">
      <alignment horizontal="center" vertical="center"/>
    </xf>
    <xf numFmtId="2" fontId="23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3" fillId="2" borderId="0" xfId="1" applyNumberFormat="1" applyFont="1" applyFill="1"/>
    <xf numFmtId="0" fontId="5" fillId="2" borderId="58" xfId="1" applyFont="1" applyFill="1" applyBorder="1" applyAlignment="1">
      <alignment horizontal="center" vertical="center"/>
    </xf>
    <xf numFmtId="10" fontId="2" fillId="2" borderId="0" xfId="1" applyNumberFormat="1" applyFont="1" applyFill="1"/>
    <xf numFmtId="170" fontId="5" fillId="2" borderId="37" xfId="1" applyNumberFormat="1" applyFont="1" applyFill="1" applyBorder="1" applyAlignment="1">
      <alignment horizontal="center" vertical="center"/>
    </xf>
    <xf numFmtId="165" fontId="5" fillId="2" borderId="32" xfId="1" applyNumberFormat="1" applyFont="1" applyFill="1" applyBorder="1" applyAlignment="1">
      <alignment horizontal="center"/>
    </xf>
    <xf numFmtId="2" fontId="5" fillId="2" borderId="58" xfId="1" applyNumberFormat="1" applyFont="1" applyFill="1" applyBorder="1" applyAlignment="1">
      <alignment horizontal="center" vertical="center"/>
    </xf>
    <xf numFmtId="170" fontId="5" fillId="2" borderId="36" xfId="1" applyNumberFormat="1" applyFont="1" applyFill="1" applyBorder="1" applyAlignment="1">
      <alignment horizontal="center" vertical="center"/>
    </xf>
    <xf numFmtId="165" fontId="5" fillId="2" borderId="34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  <xf numFmtId="0" fontId="20" fillId="2" borderId="0" xfId="1" applyFill="1"/>
    <xf numFmtId="0" fontId="16" fillId="2" borderId="0" xfId="2" applyFont="1" applyFill="1" applyAlignment="1">
      <alignment horizontal="center" vertical="center"/>
    </xf>
    <xf numFmtId="0" fontId="2" fillId="2" borderId="0" xfId="2" applyFont="1" applyFill="1"/>
    <xf numFmtId="0" fontId="17" fillId="2" borderId="0" xfId="2" applyFont="1" applyFill="1" applyAlignment="1">
      <alignment horizontal="center" vertical="center"/>
    </xf>
    <xf numFmtId="0" fontId="8" fillId="2" borderId="0" xfId="2" applyFont="1" applyFill="1"/>
    <xf numFmtId="0" fontId="14" fillId="2" borderId="54" xfId="2" applyFont="1" applyFill="1" applyBorder="1" applyAlignment="1">
      <alignment horizontal="center"/>
    </xf>
    <xf numFmtId="0" fontId="14" fillId="2" borderId="55" xfId="2" applyFont="1" applyFill="1" applyBorder="1" applyAlignment="1">
      <alignment horizontal="center"/>
    </xf>
    <xf numFmtId="0" fontId="14" fillId="2" borderId="57" xfId="2" applyFont="1" applyFill="1" applyBorder="1" applyAlignment="1">
      <alignment horizontal="center"/>
    </xf>
    <xf numFmtId="0" fontId="24" fillId="2" borderId="10" xfId="2" applyFont="1" applyFill="1" applyBorder="1" applyAlignment="1">
      <alignment horizontal="center" vertical="center"/>
    </xf>
    <xf numFmtId="0" fontId="20" fillId="2" borderId="0" xfId="2" applyFill="1"/>
    <xf numFmtId="0" fontId="9" fillId="2" borderId="0" xfId="2" applyFont="1" applyFill="1"/>
    <xf numFmtId="0" fontId="11" fillId="3" borderId="0" xfId="2" applyFont="1" applyFill="1" applyAlignment="1" applyProtection="1">
      <alignment horizontal="left" wrapText="1"/>
      <protection locked="0"/>
    </xf>
    <xf numFmtId="0" fontId="11" fillId="2" borderId="0" xfId="2" applyFont="1" applyFill="1" applyAlignment="1" applyProtection="1">
      <alignment horizontal="right"/>
      <protection locked="0"/>
    </xf>
    <xf numFmtId="0" fontId="11" fillId="2" borderId="0" xfId="2" applyFont="1" applyFill="1" applyAlignment="1" applyProtection="1">
      <alignment horizontal="left"/>
      <protection locked="0"/>
    </xf>
    <xf numFmtId="0" fontId="10" fillId="2" borderId="0" xfId="2" applyFont="1" applyFill="1"/>
    <xf numFmtId="0" fontId="10" fillId="3" borderId="0" xfId="2" applyFont="1" applyFill="1" applyAlignment="1" applyProtection="1">
      <alignment horizontal="left"/>
      <protection locked="0"/>
    </xf>
    <xf numFmtId="0" fontId="10" fillId="3" borderId="0" xfId="2" applyFont="1" applyFill="1" applyAlignment="1" applyProtection="1">
      <alignment horizontal="left" wrapText="1"/>
      <protection locked="0"/>
    </xf>
    <xf numFmtId="0" fontId="8" fillId="3" borderId="0" xfId="2" applyFont="1" applyFill="1" applyProtection="1">
      <protection locked="0"/>
    </xf>
    <xf numFmtId="172" fontId="10" fillId="3" borderId="0" xfId="2" applyNumberFormat="1" applyFont="1" applyFill="1" applyAlignment="1" applyProtection="1">
      <alignment horizontal="center"/>
      <protection locked="0"/>
    </xf>
    <xf numFmtId="166" fontId="8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9" fillId="2" borderId="0" xfId="2" applyFont="1" applyFill="1" applyAlignment="1">
      <alignment horizontal="right"/>
    </xf>
    <xf numFmtId="0" fontId="8" fillId="2" borderId="0" xfId="2" applyFont="1" applyFill="1" applyAlignment="1">
      <alignment horizontal="right"/>
    </xf>
    <xf numFmtId="0" fontId="10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Alignment="1" applyProtection="1">
      <alignment horizontal="center"/>
      <protection locked="0"/>
    </xf>
    <xf numFmtId="0" fontId="10" fillId="3" borderId="0" xfId="2" applyFont="1" applyFill="1" applyAlignment="1" applyProtection="1">
      <alignment horizontal="center"/>
      <protection locked="0"/>
    </xf>
    <xf numFmtId="0" fontId="14" fillId="2" borderId="54" xfId="2" applyFont="1" applyFill="1" applyBorder="1" applyAlignment="1">
      <alignment horizontal="justify" vertical="center" wrapText="1"/>
    </xf>
    <xf numFmtId="0" fontId="14" fillId="2" borderId="55" xfId="2" applyFont="1" applyFill="1" applyBorder="1" applyAlignment="1">
      <alignment horizontal="justify" vertical="center" wrapText="1"/>
    </xf>
    <xf numFmtId="0" fontId="14" fillId="2" borderId="57" xfId="2" applyFont="1" applyFill="1" applyBorder="1" applyAlignment="1">
      <alignment horizontal="justify" vertical="center" wrapText="1"/>
    </xf>
    <xf numFmtId="0" fontId="5" fillId="2" borderId="1" xfId="2" applyFont="1" applyFill="1" applyBorder="1" applyAlignment="1">
      <alignment horizontal="center"/>
    </xf>
    <xf numFmtId="0" fontId="25" fillId="2" borderId="0" xfId="2" applyFont="1" applyFill="1" applyAlignment="1">
      <alignment vertical="center" wrapText="1"/>
    </xf>
    <xf numFmtId="0" fontId="9" fillId="2" borderId="0" xfId="2" applyFont="1" applyFill="1" applyAlignment="1">
      <alignment horizontal="center"/>
    </xf>
    <xf numFmtId="0" fontId="13" fillId="2" borderId="0" xfId="2" applyFont="1" applyFill="1"/>
    <xf numFmtId="0" fontId="15" fillId="2" borderId="0" xfId="2" applyFont="1" applyFill="1"/>
    <xf numFmtId="2" fontId="11" fillId="3" borderId="0" xfId="2" applyNumberFormat="1" applyFont="1" applyFill="1" applyAlignment="1" applyProtection="1">
      <alignment horizontal="center"/>
      <protection locked="0"/>
    </xf>
    <xf numFmtId="0" fontId="14" fillId="2" borderId="54" xfId="2" applyFont="1" applyFill="1" applyBorder="1" applyAlignment="1">
      <alignment horizontal="left" vertical="center" wrapText="1"/>
    </xf>
    <xf numFmtId="0" fontId="14" fillId="2" borderId="55" xfId="2" applyFont="1" applyFill="1" applyBorder="1" applyAlignment="1">
      <alignment horizontal="left" vertical="center" wrapText="1"/>
    </xf>
    <xf numFmtId="0" fontId="14" fillId="2" borderId="57" xfId="2" applyFont="1" applyFill="1" applyBorder="1" applyAlignment="1">
      <alignment horizontal="left" vertical="center" wrapText="1"/>
    </xf>
    <xf numFmtId="0" fontId="9" fillId="2" borderId="0" xfId="2" applyFont="1" applyFill="1" applyAlignment="1">
      <alignment vertical="center" wrapText="1"/>
    </xf>
    <xf numFmtId="0" fontId="12" fillId="2" borderId="0" xfId="2" applyFont="1" applyFill="1"/>
    <xf numFmtId="2" fontId="9" fillId="2" borderId="0" xfId="2" applyNumberFormat="1" applyFont="1" applyFill="1" applyAlignment="1">
      <alignment horizontal="center"/>
    </xf>
    <xf numFmtId="0" fontId="14" fillId="2" borderId="0" xfId="2" applyFont="1" applyFill="1" applyAlignment="1">
      <alignment horizontal="left" vertical="center" wrapText="1"/>
    </xf>
    <xf numFmtId="167" fontId="9" fillId="2" borderId="0" xfId="2" applyNumberFormat="1" applyFont="1" applyFill="1" applyAlignment="1">
      <alignment horizontal="center"/>
    </xf>
    <xf numFmtId="0" fontId="8" fillId="2" borderId="12" xfId="2" applyFont="1" applyFill="1" applyBorder="1" applyAlignment="1">
      <alignment horizontal="right"/>
    </xf>
    <xf numFmtId="0" fontId="11" fillId="3" borderId="16" xfId="2" applyFont="1" applyFill="1" applyBorder="1" applyAlignment="1" applyProtection="1">
      <alignment horizontal="center"/>
      <protection locked="0"/>
    </xf>
    <xf numFmtId="0" fontId="9" fillId="2" borderId="46" xfId="2" applyFont="1" applyFill="1" applyBorder="1" applyAlignment="1">
      <alignment horizontal="center"/>
    </xf>
    <xf numFmtId="0" fontId="9" fillId="2" borderId="31" xfId="2" applyFont="1" applyFill="1" applyBorder="1" applyAlignment="1">
      <alignment horizontal="center"/>
    </xf>
    <xf numFmtId="0" fontId="9" fillId="2" borderId="56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right"/>
    </xf>
    <xf numFmtId="0" fontId="11" fillId="3" borderId="22" xfId="2" applyFont="1" applyFill="1" applyBorder="1" applyAlignment="1" applyProtection="1">
      <alignment horizontal="center"/>
      <protection locked="0"/>
    </xf>
    <xf numFmtId="0" fontId="9" fillId="2" borderId="16" xfId="2" applyFont="1" applyFill="1" applyBorder="1" applyAlignment="1">
      <alignment horizontal="center"/>
    </xf>
    <xf numFmtId="0" fontId="9" fillId="2" borderId="17" xfId="2" applyFont="1" applyFill="1" applyBorder="1" applyAlignment="1">
      <alignment horizontal="center"/>
    </xf>
    <xf numFmtId="0" fontId="9" fillId="2" borderId="18" xfId="2" applyFont="1" applyFill="1" applyBorder="1" applyAlignment="1">
      <alignment horizontal="center"/>
    </xf>
    <xf numFmtId="0" fontId="9" fillId="2" borderId="44" xfId="2" applyFont="1" applyFill="1" applyBorder="1" applyAlignment="1">
      <alignment horizontal="center"/>
    </xf>
    <xf numFmtId="0" fontId="9" fillId="2" borderId="58" xfId="2" applyFont="1" applyFill="1" applyBorder="1" applyAlignment="1">
      <alignment horizontal="center"/>
    </xf>
    <xf numFmtId="0" fontId="8" fillId="2" borderId="20" xfId="2" applyFont="1" applyFill="1" applyBorder="1" applyAlignment="1">
      <alignment horizontal="center"/>
    </xf>
    <xf numFmtId="0" fontId="11" fillId="3" borderId="21" xfId="2" applyFont="1" applyFill="1" applyBorder="1" applyAlignment="1" applyProtection="1">
      <alignment horizontal="center"/>
      <protection locked="0"/>
    </xf>
    <xf numFmtId="168" fontId="8" fillId="2" borderId="18" xfId="2" applyNumberFormat="1" applyFont="1" applyFill="1" applyBorder="1" applyAlignment="1">
      <alignment horizontal="center"/>
    </xf>
    <xf numFmtId="168" fontId="8" fillId="2" borderId="19" xfId="2" applyNumberFormat="1" applyFont="1" applyFill="1" applyBorder="1" applyAlignment="1">
      <alignment horizontal="center"/>
    </xf>
    <xf numFmtId="0" fontId="12" fillId="2" borderId="37" xfId="2" applyFont="1" applyFill="1" applyBorder="1"/>
    <xf numFmtId="0" fontId="8" fillId="2" borderId="22" xfId="2" applyFont="1" applyFill="1" applyBorder="1" applyAlignment="1">
      <alignment horizontal="center"/>
    </xf>
    <xf numFmtId="0" fontId="11" fillId="3" borderId="14" xfId="2" applyFont="1" applyFill="1" applyBorder="1" applyAlignment="1" applyProtection="1">
      <alignment horizontal="center"/>
      <protection locked="0"/>
    </xf>
    <xf numFmtId="168" fontId="8" fillId="2" borderId="23" xfId="2" applyNumberFormat="1" applyFont="1" applyFill="1" applyBorder="1" applyAlignment="1">
      <alignment horizontal="center"/>
    </xf>
    <xf numFmtId="168" fontId="8" fillId="2" borderId="15" xfId="2" applyNumberFormat="1" applyFont="1" applyFill="1" applyBorder="1" applyAlignment="1">
      <alignment horizontal="center"/>
    </xf>
    <xf numFmtId="10" fontId="25" fillId="2" borderId="59" xfId="2" applyNumberFormat="1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/>
    </xf>
    <xf numFmtId="0" fontId="11" fillId="3" borderId="25" xfId="2" applyFont="1" applyFill="1" applyBorder="1" applyAlignment="1" applyProtection="1">
      <alignment horizontal="center"/>
      <protection locked="0"/>
    </xf>
    <xf numFmtId="168" fontId="8" fillId="2" borderId="26" xfId="2" applyNumberFormat="1" applyFont="1" applyFill="1" applyBorder="1" applyAlignment="1">
      <alignment horizontal="center"/>
    </xf>
    <xf numFmtId="168" fontId="8" fillId="2" borderId="27" xfId="2" applyNumberFormat="1" applyFont="1" applyFill="1" applyBorder="1" applyAlignment="1">
      <alignment horizontal="center"/>
    </xf>
    <xf numFmtId="0" fontId="8" fillId="2" borderId="36" xfId="2" applyFont="1" applyFill="1" applyBorder="1"/>
    <xf numFmtId="0" fontId="8" fillId="2" borderId="22" xfId="2" applyFont="1" applyFill="1" applyBorder="1" applyAlignment="1">
      <alignment horizontal="right"/>
    </xf>
    <xf numFmtId="1" fontId="9" fillId="6" borderId="28" xfId="2" applyNumberFormat="1" applyFont="1" applyFill="1" applyBorder="1" applyAlignment="1">
      <alignment horizontal="center"/>
    </xf>
    <xf numFmtId="168" fontId="9" fillId="6" borderId="29" xfId="2" applyNumberFormat="1" applyFont="1" applyFill="1" applyBorder="1" applyAlignment="1">
      <alignment horizontal="center"/>
    </xf>
    <xf numFmtId="168" fontId="9" fillId="6" borderId="30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8" fillId="2" borderId="31" xfId="2" applyFont="1" applyFill="1" applyBorder="1" applyAlignment="1">
      <alignment horizontal="right"/>
    </xf>
    <xf numFmtId="0" fontId="11" fillId="3" borderId="32" xfId="2" applyFont="1" applyFill="1" applyBorder="1" applyAlignment="1" applyProtection="1">
      <alignment horizontal="center"/>
      <protection locked="0"/>
    </xf>
    <xf numFmtId="0" fontId="8" fillId="2" borderId="11" xfId="2" applyFont="1" applyFill="1" applyBorder="1" applyAlignment="1">
      <alignment horizontal="right"/>
    </xf>
    <xf numFmtId="2" fontId="8" fillId="6" borderId="33" xfId="2" applyNumberFormat="1" applyFont="1" applyFill="1" applyBorder="1" applyAlignment="1">
      <alignment horizontal="center"/>
    </xf>
    <xf numFmtId="0" fontId="8" fillId="2" borderId="0" xfId="2" applyFont="1" applyFill="1" applyAlignment="1">
      <alignment horizontal="center"/>
    </xf>
    <xf numFmtId="2" fontId="8" fillId="7" borderId="33" xfId="2" applyNumberFormat="1" applyFont="1" applyFill="1" applyBorder="1" applyAlignment="1">
      <alignment horizontal="center"/>
    </xf>
    <xf numFmtId="2" fontId="8" fillId="2" borderId="0" xfId="2" applyNumberFormat="1" applyFont="1" applyFill="1" applyAlignment="1">
      <alignment horizontal="center"/>
    </xf>
    <xf numFmtId="0" fontId="14" fillId="2" borderId="12" xfId="2" applyFont="1" applyFill="1" applyBorder="1" applyAlignment="1">
      <alignment horizontal="left" vertical="center" wrapText="1"/>
    </xf>
    <xf numFmtId="0" fontId="14" fillId="2" borderId="16" xfId="2" applyFont="1" applyFill="1" applyBorder="1" applyAlignment="1">
      <alignment horizontal="left" vertical="center" wrapText="1"/>
    </xf>
    <xf numFmtId="170" fontId="8" fillId="6" borderId="33" xfId="2" applyNumberFormat="1" applyFont="1" applyFill="1" applyBorder="1" applyAlignment="1">
      <alignment horizontal="center"/>
    </xf>
    <xf numFmtId="170" fontId="8" fillId="2" borderId="0" xfId="2" applyNumberFormat="1" applyFont="1" applyFill="1" applyAlignment="1">
      <alignment horizontal="center"/>
    </xf>
    <xf numFmtId="170" fontId="8" fillId="6" borderId="34" xfId="2" applyNumberFormat="1" applyFont="1" applyFill="1" applyBorder="1" applyAlignment="1">
      <alignment horizontal="center"/>
    </xf>
    <xf numFmtId="0" fontId="14" fillId="2" borderId="38" xfId="2" applyFont="1" applyFill="1" applyBorder="1" applyAlignment="1">
      <alignment horizontal="left" vertical="center" wrapText="1"/>
    </xf>
    <xf numFmtId="0" fontId="14" fillId="2" borderId="43" xfId="2" applyFont="1" applyFill="1" applyBorder="1" applyAlignment="1">
      <alignment horizontal="left" vertical="center" wrapText="1"/>
    </xf>
    <xf numFmtId="0" fontId="8" fillId="2" borderId="35" xfId="2" applyFont="1" applyFill="1" applyBorder="1" applyAlignment="1">
      <alignment horizontal="right"/>
    </xf>
    <xf numFmtId="170" fontId="11" fillId="3" borderId="33" xfId="2" applyNumberFormat="1" applyFont="1" applyFill="1" applyBorder="1" applyAlignment="1" applyProtection="1">
      <alignment horizontal="center"/>
      <protection locked="0"/>
    </xf>
    <xf numFmtId="170" fontId="8" fillId="2" borderId="0" xfId="2" applyNumberFormat="1" applyFont="1" applyFill="1"/>
    <xf numFmtId="0" fontId="8" fillId="2" borderId="21" xfId="2" applyFont="1" applyFill="1" applyBorder="1" applyAlignment="1">
      <alignment horizontal="right"/>
    </xf>
    <xf numFmtId="1" fontId="8" fillId="2" borderId="0" xfId="2" applyNumberFormat="1" applyFont="1" applyFill="1" applyAlignment="1">
      <alignment horizontal="center"/>
    </xf>
    <xf numFmtId="0" fontId="8" fillId="2" borderId="36" xfId="2" applyFont="1" applyFill="1" applyBorder="1" applyAlignment="1">
      <alignment horizontal="right"/>
    </xf>
    <xf numFmtId="2" fontId="8" fillId="6" borderId="36" xfId="2" applyNumberFormat="1" applyFont="1" applyFill="1" applyBorder="1" applyAlignment="1">
      <alignment horizontal="center"/>
    </xf>
    <xf numFmtId="168" fontId="9" fillId="7" borderId="37" xfId="2" applyNumberFormat="1" applyFont="1" applyFill="1" applyBorder="1" applyAlignment="1">
      <alignment horizontal="center"/>
    </xf>
    <xf numFmtId="168" fontId="8" fillId="2" borderId="0" xfId="2" applyNumberFormat="1" applyFont="1" applyFill="1" applyAlignment="1">
      <alignment horizontal="center"/>
    </xf>
    <xf numFmtId="10" fontId="8" fillId="6" borderId="33" xfId="2" applyNumberFormat="1" applyFont="1" applyFill="1" applyBorder="1" applyAlignment="1">
      <alignment horizontal="center"/>
    </xf>
    <xf numFmtId="0" fontId="8" fillId="2" borderId="38" xfId="2" applyFont="1" applyFill="1" applyBorder="1" applyAlignment="1">
      <alignment horizontal="right"/>
    </xf>
    <xf numFmtId="0" fontId="8" fillId="7" borderId="36" xfId="2" applyFont="1" applyFill="1" applyBorder="1" applyAlignment="1">
      <alignment horizontal="center"/>
    </xf>
    <xf numFmtId="0" fontId="3" fillId="2" borderId="0" xfId="2" applyFont="1" applyFill="1"/>
    <xf numFmtId="0" fontId="9" fillId="2" borderId="0" xfId="2" applyFont="1" applyFill="1" applyAlignment="1">
      <alignment horizontal="left"/>
    </xf>
    <xf numFmtId="0" fontId="8" fillId="2" borderId="0" xfId="2" applyFont="1" applyFill="1" applyAlignment="1">
      <alignment horizontal="left"/>
    </xf>
    <xf numFmtId="173" fontId="11" fillId="3" borderId="0" xfId="2" applyNumberFormat="1" applyFont="1" applyFill="1" applyAlignment="1" applyProtection="1">
      <alignment horizontal="center"/>
      <protection locked="0"/>
    </xf>
    <xf numFmtId="170" fontId="9" fillId="2" borderId="0" xfId="2" applyNumberFormat="1" applyFont="1" applyFill="1" applyAlignment="1" applyProtection="1">
      <alignment horizontal="center"/>
      <protection locked="0"/>
    </xf>
    <xf numFmtId="2" fontId="9" fillId="2" borderId="37" xfId="2" applyNumberFormat="1" applyFont="1" applyFill="1" applyBorder="1" applyAlignment="1">
      <alignment horizontal="center"/>
    </xf>
    <xf numFmtId="0" fontId="9" fillId="2" borderId="37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 vertical="center"/>
    </xf>
    <xf numFmtId="2" fontId="11" fillId="3" borderId="37" xfId="2" applyNumberFormat="1" applyFont="1" applyFill="1" applyBorder="1" applyAlignment="1" applyProtection="1">
      <alignment horizontal="center" vertical="center"/>
      <protection locked="0"/>
    </xf>
    <xf numFmtId="0" fontId="8" fillId="2" borderId="37" xfId="2" applyFont="1" applyFill="1" applyBorder="1" applyAlignment="1">
      <alignment horizontal="center"/>
    </xf>
    <xf numFmtId="0" fontId="11" fillId="3" borderId="12" xfId="2" applyFont="1" applyFill="1" applyBorder="1" applyAlignment="1" applyProtection="1">
      <alignment horizontal="center"/>
      <protection locked="0"/>
    </xf>
    <xf numFmtId="170" fontId="8" fillId="2" borderId="12" xfId="2" applyNumberFormat="1" applyFont="1" applyFill="1" applyBorder="1" applyAlignment="1">
      <alignment horizontal="center"/>
    </xf>
    <xf numFmtId="10" fontId="8" fillId="2" borderId="37" xfId="2" applyNumberFormat="1" applyFont="1" applyFill="1" applyBorder="1" applyAlignment="1">
      <alignment horizontal="center" vertical="center"/>
    </xf>
    <xf numFmtId="0" fontId="9" fillId="2" borderId="0" xfId="2" applyFont="1" applyFill="1" applyAlignment="1">
      <alignment horizontal="center" vertical="center"/>
    </xf>
    <xf numFmtId="2" fontId="11" fillId="3" borderId="59" xfId="2" applyNumberFormat="1" applyFont="1" applyFill="1" applyBorder="1" applyAlignment="1" applyProtection="1">
      <alignment horizontal="center" vertical="center"/>
      <protection locked="0"/>
    </xf>
    <xf numFmtId="0" fontId="8" fillId="2" borderId="59" xfId="2" applyFont="1" applyFill="1" applyBorder="1" applyAlignment="1">
      <alignment horizontal="center"/>
    </xf>
    <xf numFmtId="170" fontId="8" fillId="2" borderId="14" xfId="2" applyNumberFormat="1" applyFont="1" applyFill="1" applyBorder="1" applyAlignment="1">
      <alignment horizontal="center"/>
    </xf>
    <xf numFmtId="10" fontId="8" fillId="2" borderId="59" xfId="2" applyNumberFormat="1" applyFont="1" applyFill="1" applyBorder="1" applyAlignment="1">
      <alignment horizontal="center" vertical="center"/>
    </xf>
    <xf numFmtId="1" fontId="11" fillId="3" borderId="14" xfId="2" applyNumberFormat="1" applyFont="1" applyFill="1" applyBorder="1" applyAlignment="1" applyProtection="1">
      <alignment horizontal="center"/>
      <protection locked="0"/>
    </xf>
    <xf numFmtId="0" fontId="9" fillId="2" borderId="9" xfId="2" applyFont="1" applyFill="1" applyBorder="1" applyAlignment="1">
      <alignment horizontal="center" vertical="center"/>
    </xf>
    <xf numFmtId="2" fontId="11" fillId="3" borderId="36" xfId="2" applyNumberFormat="1" applyFont="1" applyFill="1" applyBorder="1" applyAlignment="1" applyProtection="1">
      <alignment horizontal="center" vertical="center"/>
      <protection locked="0"/>
    </xf>
    <xf numFmtId="0" fontId="8" fillId="2" borderId="36" xfId="2" applyFont="1" applyFill="1" applyBorder="1" applyAlignment="1">
      <alignment horizontal="center"/>
    </xf>
    <xf numFmtId="0" fontId="11" fillId="3" borderId="38" xfId="2" applyFont="1" applyFill="1" applyBorder="1" applyAlignment="1" applyProtection="1">
      <alignment horizontal="center"/>
      <protection locked="0"/>
    </xf>
    <xf numFmtId="170" fontId="8" fillId="2" borderId="37" xfId="2" applyNumberFormat="1" applyFont="1" applyFill="1" applyBorder="1" applyAlignment="1">
      <alignment horizontal="center"/>
    </xf>
    <xf numFmtId="10" fontId="8" fillId="2" borderId="16" xfId="2" applyNumberFormat="1" applyFont="1" applyFill="1" applyBorder="1" applyAlignment="1">
      <alignment horizontal="center" vertical="center"/>
    </xf>
    <xf numFmtId="170" fontId="8" fillId="2" borderId="59" xfId="2" applyNumberFormat="1" applyFont="1" applyFill="1" applyBorder="1" applyAlignment="1">
      <alignment horizontal="center"/>
    </xf>
    <xf numFmtId="10" fontId="8" fillId="2" borderId="22" xfId="2" applyNumberFormat="1" applyFont="1" applyFill="1" applyBorder="1" applyAlignment="1">
      <alignment horizontal="center" vertical="center"/>
    </xf>
    <xf numFmtId="170" fontId="8" fillId="2" borderId="36" xfId="2" applyNumberFormat="1" applyFont="1" applyFill="1" applyBorder="1" applyAlignment="1">
      <alignment horizontal="center"/>
    </xf>
    <xf numFmtId="10" fontId="8" fillId="2" borderId="43" xfId="2" applyNumberFormat="1" applyFont="1" applyFill="1" applyBorder="1" applyAlignment="1">
      <alignment horizontal="center" vertical="center"/>
    </xf>
    <xf numFmtId="0" fontId="10" fillId="2" borderId="22" xfId="2" applyFont="1" applyFill="1" applyBorder="1" applyAlignment="1">
      <alignment horizontal="center"/>
    </xf>
    <xf numFmtId="2" fontId="10" fillId="2" borderId="43" xfId="2" applyNumberFormat="1" applyFont="1" applyFill="1" applyBorder="1" applyAlignment="1">
      <alignment horizontal="center"/>
    </xf>
    <xf numFmtId="0" fontId="14" fillId="2" borderId="12" xfId="2" applyFont="1" applyFill="1" applyBorder="1" applyAlignment="1">
      <alignment horizontal="center" vertical="center" wrapText="1"/>
    </xf>
    <xf numFmtId="0" fontId="14" fillId="2" borderId="16" xfId="2" applyFont="1" applyFill="1" applyBorder="1" applyAlignment="1">
      <alignment horizontal="center" vertical="center" wrapText="1"/>
    </xf>
    <xf numFmtId="0" fontId="14" fillId="2" borderId="38" xfId="2" applyFont="1" applyFill="1" applyBorder="1" applyAlignment="1">
      <alignment horizontal="center" vertical="center" wrapText="1"/>
    </xf>
    <xf numFmtId="0" fontId="14" fillId="2" borderId="43" xfId="2" applyFont="1" applyFill="1" applyBorder="1" applyAlignment="1">
      <alignment horizontal="center" vertical="center" wrapText="1"/>
    </xf>
    <xf numFmtId="0" fontId="9" fillId="2" borderId="38" xfId="2" applyFont="1" applyFill="1" applyBorder="1" applyAlignment="1">
      <alignment horizontal="center" vertical="center"/>
    </xf>
    <xf numFmtId="10" fontId="8" fillId="2" borderId="36" xfId="2" applyNumberFormat="1" applyFont="1" applyFill="1" applyBorder="1" applyAlignment="1">
      <alignment horizontal="center" vertical="center"/>
    </xf>
    <xf numFmtId="0" fontId="8" fillId="2" borderId="60" xfId="2" applyFont="1" applyFill="1" applyBorder="1" applyAlignment="1">
      <alignment horizontal="right"/>
    </xf>
    <xf numFmtId="2" fontId="11" fillId="7" borderId="24" xfId="2" applyNumberFormat="1" applyFont="1" applyFill="1" applyBorder="1" applyAlignment="1">
      <alignment horizontal="center"/>
    </xf>
    <xf numFmtId="10" fontId="11" fillId="7" borderId="24" xfId="2" applyNumberFormat="1" applyFont="1" applyFill="1" applyBorder="1" applyAlignment="1">
      <alignment horizontal="center"/>
    </xf>
    <xf numFmtId="0" fontId="8" fillId="2" borderId="33" xfId="2" applyFont="1" applyFill="1" applyBorder="1" applyAlignment="1">
      <alignment horizontal="right"/>
    </xf>
    <xf numFmtId="10" fontId="11" fillId="6" borderId="61" xfId="2" applyNumberFormat="1" applyFont="1" applyFill="1" applyBorder="1" applyAlignment="1">
      <alignment horizontal="center"/>
    </xf>
    <xf numFmtId="0" fontId="8" fillId="2" borderId="34" xfId="2" applyFont="1" applyFill="1" applyBorder="1" applyAlignment="1">
      <alignment horizontal="right"/>
    </xf>
    <xf numFmtId="0" fontId="11" fillId="7" borderId="62" xfId="2" applyFont="1" applyFill="1" applyBorder="1" applyAlignment="1">
      <alignment horizontal="center"/>
    </xf>
    <xf numFmtId="0" fontId="9" fillId="2" borderId="0" xfId="2" applyFont="1" applyFill="1" applyAlignment="1">
      <alignment horizontal="center"/>
    </xf>
    <xf numFmtId="165" fontId="11" fillId="2" borderId="0" xfId="2" applyNumberFormat="1" applyFont="1" applyFill="1" applyAlignment="1">
      <alignment horizontal="center"/>
    </xf>
    <xf numFmtId="0" fontId="11" fillId="3" borderId="0" xfId="2" applyFont="1" applyFill="1" applyAlignment="1" applyProtection="1">
      <alignment horizontal="left"/>
      <protection locked="0"/>
    </xf>
    <xf numFmtId="0" fontId="9" fillId="2" borderId="46" xfId="2" applyFont="1" applyFill="1" applyBorder="1" applyAlignment="1">
      <alignment horizontal="center"/>
    </xf>
    <xf numFmtId="0" fontId="9" fillId="2" borderId="31" xfId="2" applyFont="1" applyFill="1" applyBorder="1" applyAlignment="1">
      <alignment horizontal="center"/>
    </xf>
    <xf numFmtId="0" fontId="9" fillId="2" borderId="10" xfId="2" applyFont="1" applyFill="1" applyBorder="1" applyAlignment="1">
      <alignment horizontal="center"/>
    </xf>
    <xf numFmtId="0" fontId="9" fillId="2" borderId="19" xfId="2" applyFont="1" applyFill="1" applyBorder="1" applyAlignment="1">
      <alignment horizontal="center"/>
    </xf>
    <xf numFmtId="0" fontId="8" fillId="2" borderId="47" xfId="2" applyFont="1" applyFill="1" applyBorder="1" applyAlignment="1">
      <alignment horizontal="center"/>
    </xf>
    <xf numFmtId="0" fontId="8" fillId="2" borderId="7" xfId="2" applyFont="1" applyFill="1" applyBorder="1" applyAlignment="1">
      <alignment horizontal="center"/>
    </xf>
    <xf numFmtId="168" fontId="11" fillId="3" borderId="25" xfId="2" applyNumberFormat="1" applyFont="1" applyFill="1" applyBorder="1" applyAlignment="1" applyProtection="1">
      <alignment horizontal="center"/>
      <protection locked="0"/>
    </xf>
    <xf numFmtId="1" fontId="9" fillId="6" borderId="63" xfId="2" applyNumberFormat="1" applyFont="1" applyFill="1" applyBorder="1" applyAlignment="1">
      <alignment horizontal="center"/>
    </xf>
    <xf numFmtId="1" fontId="9" fillId="6" borderId="48" xfId="2" applyNumberFormat="1" applyFont="1" applyFill="1" applyBorder="1" applyAlignment="1">
      <alignment horizontal="center"/>
    </xf>
    <xf numFmtId="168" fontId="9" fillId="6" borderId="36" xfId="2" applyNumberFormat="1" applyFont="1" applyFill="1" applyBorder="1" applyAlignment="1">
      <alignment horizontal="center"/>
    </xf>
    <xf numFmtId="0" fontId="8" fillId="2" borderId="64" xfId="2" applyFont="1" applyFill="1" applyBorder="1" applyAlignment="1">
      <alignment horizontal="right"/>
    </xf>
    <xf numFmtId="0" fontId="11" fillId="3" borderId="49" xfId="2" applyFont="1" applyFill="1" applyBorder="1" applyAlignment="1" applyProtection="1">
      <alignment horizontal="center"/>
      <protection locked="0"/>
    </xf>
    <xf numFmtId="0" fontId="8" fillId="2" borderId="17" xfId="2" applyFont="1" applyFill="1" applyBorder="1" applyAlignment="1">
      <alignment horizontal="right"/>
    </xf>
    <xf numFmtId="2" fontId="8" fillId="6" borderId="44" xfId="2" applyNumberFormat="1" applyFont="1" applyFill="1" applyBorder="1" applyAlignment="1">
      <alignment horizontal="center"/>
    </xf>
    <xf numFmtId="2" fontId="8" fillId="7" borderId="44" xfId="2" applyNumberFormat="1" applyFont="1" applyFill="1" applyBorder="1" applyAlignment="1">
      <alignment horizontal="center"/>
    </xf>
    <xf numFmtId="0" fontId="14" fillId="2" borderId="10" xfId="2" applyFont="1" applyFill="1" applyBorder="1" applyAlignment="1">
      <alignment horizontal="left" vertical="center" wrapText="1"/>
    </xf>
    <xf numFmtId="170" fontId="8" fillId="6" borderId="44" xfId="2" applyNumberFormat="1" applyFont="1" applyFill="1" applyBorder="1" applyAlignment="1">
      <alignment horizontal="center"/>
    </xf>
    <xf numFmtId="0" fontId="14" fillId="2" borderId="9" xfId="2" applyFont="1" applyFill="1" applyBorder="1" applyAlignment="1">
      <alignment horizontal="left" vertical="center" wrapText="1"/>
    </xf>
    <xf numFmtId="170" fontId="8" fillId="7" borderId="44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8" fillId="2" borderId="50" xfId="2" applyFont="1" applyFill="1" applyBorder="1" applyAlignment="1">
      <alignment horizontal="right"/>
    </xf>
    <xf numFmtId="2" fontId="8" fillId="7" borderId="19" xfId="2" applyNumberFormat="1" applyFont="1" applyFill="1" applyBorder="1" applyAlignment="1">
      <alignment horizontal="center"/>
    </xf>
    <xf numFmtId="0" fontId="9" fillId="2" borderId="0" xfId="2" applyFont="1" applyFill="1" applyAlignment="1">
      <alignment horizontal="center" wrapText="1"/>
    </xf>
    <xf numFmtId="0" fontId="8" fillId="2" borderId="32" xfId="2" applyFont="1" applyFill="1" applyBorder="1" applyAlignment="1">
      <alignment horizontal="right"/>
    </xf>
    <xf numFmtId="168" fontId="9" fillId="7" borderId="32" xfId="2" applyNumberFormat="1" applyFont="1" applyFill="1" applyBorder="1" applyAlignment="1">
      <alignment horizontal="center"/>
    </xf>
    <xf numFmtId="10" fontId="8" fillId="2" borderId="0" xfId="2" applyNumberFormat="1" applyFont="1" applyFill="1" applyAlignment="1">
      <alignment horizontal="center"/>
    </xf>
    <xf numFmtId="10" fontId="9" fillId="6" borderId="33" xfId="2" applyNumberFormat="1" applyFont="1" applyFill="1" applyBorder="1" applyAlignment="1">
      <alignment horizontal="center"/>
    </xf>
    <xf numFmtId="0" fontId="9" fillId="7" borderId="34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41" xfId="2" applyFont="1" applyFill="1" applyBorder="1" applyAlignment="1">
      <alignment horizontal="center"/>
    </xf>
    <xf numFmtId="0" fontId="9" fillId="2" borderId="16" xfId="2" applyFont="1" applyFill="1" applyBorder="1" applyAlignment="1">
      <alignment horizontal="center" wrapText="1"/>
    </xf>
    <xf numFmtId="0" fontId="8" fillId="2" borderId="14" xfId="2" applyFont="1" applyFill="1" applyBorder="1" applyAlignment="1">
      <alignment horizontal="center"/>
    </xf>
    <xf numFmtId="1" fontId="11" fillId="3" borderId="23" xfId="2" applyNumberFormat="1" applyFont="1" applyFill="1" applyBorder="1" applyAlignment="1" applyProtection="1">
      <alignment horizontal="center"/>
      <protection locked="0"/>
    </xf>
    <xf numFmtId="170" fontId="8" fillId="2" borderId="18" xfId="2" applyNumberFormat="1" applyFont="1" applyFill="1" applyBorder="1" applyAlignment="1">
      <alignment horizontal="center"/>
    </xf>
    <xf numFmtId="10" fontId="8" fillId="2" borderId="19" xfId="2" applyNumberFormat="1" applyFont="1" applyFill="1" applyBorder="1" applyAlignment="1">
      <alignment horizontal="center"/>
    </xf>
    <xf numFmtId="170" fontId="8" fillId="2" borderId="23" xfId="2" applyNumberFormat="1" applyFont="1" applyFill="1" applyBorder="1" applyAlignment="1">
      <alignment horizontal="center"/>
    </xf>
    <xf numFmtId="10" fontId="8" fillId="2" borderId="15" xfId="2" applyNumberFormat="1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1" fontId="11" fillId="3" borderId="26" xfId="2" applyNumberFormat="1" applyFont="1" applyFill="1" applyBorder="1" applyAlignment="1" applyProtection="1">
      <alignment horizontal="center"/>
      <protection locked="0"/>
    </xf>
    <xf numFmtId="170" fontId="8" fillId="2" borderId="26" xfId="2" applyNumberFormat="1" applyFont="1" applyFill="1" applyBorder="1" applyAlignment="1">
      <alignment horizontal="center"/>
    </xf>
    <xf numFmtId="10" fontId="8" fillId="2" borderId="27" xfId="2" applyNumberFormat="1" applyFont="1" applyFill="1" applyBorder="1" applyAlignment="1">
      <alignment horizontal="center"/>
    </xf>
    <xf numFmtId="2" fontId="8" fillId="2" borderId="22" xfId="2" applyNumberFormat="1" applyFont="1" applyFill="1" applyBorder="1" applyAlignment="1">
      <alignment horizontal="center"/>
    </xf>
    <xf numFmtId="168" fontId="8" fillId="2" borderId="2" xfId="2" applyNumberFormat="1" applyFont="1" applyFill="1" applyBorder="1" applyAlignment="1">
      <alignment horizontal="right"/>
    </xf>
    <xf numFmtId="2" fontId="11" fillId="7" borderId="44" xfId="2" applyNumberFormat="1" applyFont="1" applyFill="1" applyBorder="1" applyAlignment="1">
      <alignment horizontal="center"/>
    </xf>
    <xf numFmtId="10" fontId="11" fillId="7" borderId="44" xfId="2" applyNumberFormat="1" applyFont="1" applyFill="1" applyBorder="1" applyAlignment="1">
      <alignment horizontal="center"/>
    </xf>
    <xf numFmtId="0" fontId="8" fillId="2" borderId="14" xfId="2" applyFont="1" applyFill="1" applyBorder="1"/>
    <xf numFmtId="10" fontId="11" fillId="6" borderId="44" xfId="2" applyNumberFormat="1" applyFont="1" applyFill="1" applyBorder="1" applyAlignment="1">
      <alignment horizontal="center"/>
    </xf>
    <xf numFmtId="0" fontId="8" fillId="2" borderId="38" xfId="2" applyFont="1" applyFill="1" applyBorder="1"/>
    <xf numFmtId="0" fontId="8" fillId="2" borderId="52" xfId="2" applyFont="1" applyFill="1" applyBorder="1" applyAlignment="1">
      <alignment horizontal="right"/>
    </xf>
    <xf numFmtId="0" fontId="11" fillId="7" borderId="34" xfId="2" applyFont="1" applyFill="1" applyBorder="1" applyAlignment="1">
      <alignment horizontal="center"/>
    </xf>
    <xf numFmtId="0" fontId="14" fillId="2" borderId="0" xfId="2" applyFont="1" applyFill="1" applyAlignment="1">
      <alignment horizontal="right" vertical="center" wrapText="1"/>
    </xf>
    <xf numFmtId="0" fontId="14" fillId="2" borderId="9" xfId="2" applyFont="1" applyFill="1" applyBorder="1" applyAlignment="1">
      <alignment horizontal="left" vertical="center" wrapText="1"/>
    </xf>
    <xf numFmtId="0" fontId="8" fillId="2" borderId="9" xfId="2" applyFont="1" applyFill="1" applyBorder="1"/>
    <xf numFmtId="0" fontId="9" fillId="2" borderId="10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7" xfId="2" applyFont="1" applyFill="1" applyBorder="1"/>
    <xf numFmtId="0" fontId="9" fillId="2" borderId="11" xfId="2" applyFont="1" applyFill="1" applyBorder="1"/>
    <xf numFmtId="0" fontId="8" fillId="2" borderId="11" xfId="2" applyFont="1" applyFill="1" applyBorder="1"/>
  </cellXfs>
  <cellStyles count="3">
    <cellStyle name="Normal" xfId="0" builtinId="0"/>
    <cellStyle name="Normal 2" xfId="1"/>
    <cellStyle name="Normal 3" xfId="2"/>
  </cellStyles>
  <dxfs count="3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9" workbookViewId="0">
      <selection activeCell="D49" sqref="D4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5" t="s">
        <v>0</v>
      </c>
      <c r="B15" s="235"/>
      <c r="C15" s="235"/>
      <c r="D15" s="235"/>
      <c r="E15" s="23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150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98.9</v>
      </c>
      <c r="C19" s="10"/>
      <c r="D19" s="10"/>
      <c r="E19" s="10"/>
    </row>
    <row r="20" spans="1:6" ht="16.5" customHeight="1" x14ac:dyDescent="0.3">
      <c r="A20" s="7" t="s">
        <v>8</v>
      </c>
      <c r="B20" s="12">
        <v>21.3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</f>
        <v>0.42599999999999999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152197804</v>
      </c>
      <c r="C24" s="18">
        <v>6119.5</v>
      </c>
      <c r="D24" s="19">
        <v>1.1000000000000001</v>
      </c>
      <c r="E24" s="20">
        <v>5.4</v>
      </c>
    </row>
    <row r="25" spans="1:6" ht="16.5" customHeight="1" x14ac:dyDescent="0.3">
      <c r="A25" s="17">
        <v>2</v>
      </c>
      <c r="B25" s="18">
        <v>153381166</v>
      </c>
      <c r="C25" s="18">
        <v>6844.9</v>
      </c>
      <c r="D25" s="19">
        <v>1.1000000000000001</v>
      </c>
      <c r="E25" s="19">
        <v>5.2</v>
      </c>
    </row>
    <row r="26" spans="1:6" ht="16.5" customHeight="1" x14ac:dyDescent="0.3">
      <c r="A26" s="17">
        <v>3</v>
      </c>
      <c r="B26" s="18">
        <v>152700615</v>
      </c>
      <c r="C26" s="18">
        <v>6909.3</v>
      </c>
      <c r="D26" s="19">
        <v>1.1000000000000001</v>
      </c>
      <c r="E26" s="19">
        <v>5.2</v>
      </c>
    </row>
    <row r="27" spans="1:6" ht="16.5" customHeight="1" x14ac:dyDescent="0.3">
      <c r="A27" s="17">
        <v>4</v>
      </c>
      <c r="B27" s="18">
        <v>152495484</v>
      </c>
      <c r="C27" s="18">
        <v>6926.8</v>
      </c>
      <c r="D27" s="19">
        <v>1.1000000000000001</v>
      </c>
      <c r="E27" s="19">
        <v>5.2</v>
      </c>
    </row>
    <row r="28" spans="1:6" ht="16.5" customHeight="1" x14ac:dyDescent="0.3">
      <c r="A28" s="17">
        <v>5</v>
      </c>
      <c r="B28" s="18">
        <v>152422312</v>
      </c>
      <c r="C28" s="18">
        <v>6898.3</v>
      </c>
      <c r="D28" s="19">
        <v>1.1000000000000001</v>
      </c>
      <c r="E28" s="19">
        <v>5.2</v>
      </c>
    </row>
    <row r="29" spans="1:6" ht="16.5" customHeight="1" x14ac:dyDescent="0.3">
      <c r="A29" s="17">
        <v>6</v>
      </c>
      <c r="B29" s="21">
        <v>152505865</v>
      </c>
      <c r="C29" s="21">
        <v>6920</v>
      </c>
      <c r="D29" s="22">
        <v>1.1000000000000001</v>
      </c>
      <c r="E29" s="22">
        <v>5.2</v>
      </c>
    </row>
    <row r="30" spans="1:6" ht="16.5" customHeight="1" x14ac:dyDescent="0.3">
      <c r="A30" s="23" t="s">
        <v>18</v>
      </c>
      <c r="B30" s="24">
        <f>AVERAGE(B24:B29)</f>
        <v>152617207.66666666</v>
      </c>
      <c r="C30" s="25">
        <f>AVERAGE(C24:C29)</f>
        <v>6769.8</v>
      </c>
      <c r="D30" s="26">
        <f>AVERAGE(D24:D29)</f>
        <v>1.0999999999999999</v>
      </c>
      <c r="E30" s="26">
        <f>AVERAGE(E24:E29)</f>
        <v>5.2333333333333334</v>
      </c>
    </row>
    <row r="31" spans="1:6" ht="16.5" customHeight="1" x14ac:dyDescent="0.3">
      <c r="A31" s="27" t="s">
        <v>19</v>
      </c>
      <c r="B31" s="28">
        <f>(STDEV(B24:B29)/B30)</f>
        <v>2.6723379352408963E-3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155</v>
      </c>
    </row>
    <row r="39" spans="1:6" ht="16.5" customHeight="1" x14ac:dyDescent="0.3">
      <c r="A39" s="11" t="s">
        <v>4</v>
      </c>
      <c r="B39" s="8" t="s">
        <v>152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98.9</v>
      </c>
      <c r="C40" s="10"/>
      <c r="D40" s="10"/>
      <c r="E40" s="10"/>
    </row>
    <row r="41" spans="1:6" ht="16.5" customHeight="1" x14ac:dyDescent="0.3">
      <c r="A41" s="7" t="s">
        <v>8</v>
      </c>
      <c r="B41" s="12">
        <v>19.559999999999999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B41/50</f>
        <v>0.39119999999999999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136755988</v>
      </c>
      <c r="C45" s="18">
        <v>7081.24</v>
      </c>
      <c r="D45" s="19">
        <v>1.02</v>
      </c>
      <c r="E45" s="20">
        <v>5.29</v>
      </c>
    </row>
    <row r="46" spans="1:6" ht="16.5" customHeight="1" x14ac:dyDescent="0.3">
      <c r="A46" s="17">
        <v>2</v>
      </c>
      <c r="B46" s="18">
        <v>136583322</v>
      </c>
      <c r="C46" s="18">
        <v>7159.51</v>
      </c>
      <c r="D46" s="19">
        <v>1.02</v>
      </c>
      <c r="E46" s="19">
        <v>5.29</v>
      </c>
    </row>
    <row r="47" spans="1:6" ht="16.5" customHeight="1" x14ac:dyDescent="0.3">
      <c r="A47" s="17">
        <v>3</v>
      </c>
      <c r="B47" s="18">
        <v>136047892</v>
      </c>
      <c r="C47" s="18">
        <v>7247.36</v>
      </c>
      <c r="D47" s="19">
        <v>1.02</v>
      </c>
      <c r="E47" s="19">
        <v>5.29</v>
      </c>
    </row>
    <row r="48" spans="1:6" ht="16.5" customHeight="1" x14ac:dyDescent="0.3">
      <c r="A48" s="17">
        <v>4</v>
      </c>
      <c r="B48" s="18">
        <v>135304135</v>
      </c>
      <c r="C48" s="18">
        <v>7408.95</v>
      </c>
      <c r="D48" s="19">
        <v>1.03</v>
      </c>
      <c r="E48" s="19">
        <v>5.29</v>
      </c>
    </row>
    <row r="49" spans="1:7" ht="16.5" customHeight="1" x14ac:dyDescent="0.3">
      <c r="A49" s="17">
        <v>5</v>
      </c>
      <c r="B49" s="18">
        <v>135897515</v>
      </c>
      <c r="C49" s="18">
        <v>7458.97</v>
      </c>
      <c r="D49" s="19">
        <v>1.01</v>
      </c>
      <c r="E49" s="19">
        <v>5.29</v>
      </c>
    </row>
    <row r="50" spans="1:7" ht="16.5" customHeight="1" x14ac:dyDescent="0.3">
      <c r="A50" s="17">
        <v>6</v>
      </c>
      <c r="B50" s="21">
        <v>135940065</v>
      </c>
      <c r="C50" s="21">
        <v>7541.06</v>
      </c>
      <c r="D50" s="22">
        <v>1.01</v>
      </c>
      <c r="E50" s="22">
        <v>5.29</v>
      </c>
    </row>
    <row r="51" spans="1:7" ht="16.5" customHeight="1" x14ac:dyDescent="0.3">
      <c r="A51" s="23" t="s">
        <v>18</v>
      </c>
      <c r="B51" s="24">
        <f>AVERAGE(B45:B50)</f>
        <v>136088152.83333334</v>
      </c>
      <c r="C51" s="25">
        <f>AVERAGE(C45:C50)</f>
        <v>7316.1816666666664</v>
      </c>
      <c r="D51" s="26">
        <f>AVERAGE(D45:D50)</f>
        <v>1.0183333333333333</v>
      </c>
      <c r="E51" s="26">
        <f>AVERAGE(E45:E50)</f>
        <v>5.29</v>
      </c>
    </row>
    <row r="52" spans="1:7" ht="16.5" customHeight="1" x14ac:dyDescent="0.3">
      <c r="A52" s="27" t="s">
        <v>19</v>
      </c>
      <c r="B52" s="28">
        <f>(STDEV(B45:B50)/B51)</f>
        <v>3.8404675432180848E-3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6" t="s">
        <v>25</v>
      </c>
      <c r="C59" s="236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9" workbookViewId="0">
      <selection activeCell="C44" sqref="C44"/>
    </sheetView>
  </sheetViews>
  <sheetFormatPr defaultRowHeight="15" x14ac:dyDescent="0.3"/>
  <cols>
    <col min="1" max="1" width="15.5703125" style="262" customWidth="1"/>
    <col min="2" max="2" width="18.42578125" style="262" customWidth="1"/>
    <col min="3" max="3" width="14.28515625" style="262" customWidth="1"/>
    <col min="4" max="4" width="15" style="262" customWidth="1"/>
    <col min="5" max="5" width="9.140625" style="262" customWidth="1"/>
    <col min="6" max="6" width="27.85546875" style="262" customWidth="1"/>
    <col min="7" max="7" width="12.28515625" style="262" customWidth="1"/>
    <col min="8" max="8" width="9.140625" style="262" customWidth="1"/>
    <col min="9" max="16384" width="9.140625" style="313"/>
  </cols>
  <sheetData>
    <row r="10" spans="1:7" ht="13.5" customHeight="1" thickBot="1" x14ac:dyDescent="0.35"/>
    <row r="11" spans="1:7" ht="13.5" customHeight="1" thickBot="1" x14ac:dyDescent="0.35">
      <c r="A11" s="263" t="s">
        <v>32</v>
      </c>
      <c r="B11" s="264"/>
      <c r="C11" s="264"/>
      <c r="D11" s="264"/>
      <c r="E11" s="264"/>
      <c r="F11" s="265"/>
      <c r="G11" s="266"/>
    </row>
    <row r="12" spans="1:7" ht="16.5" customHeight="1" x14ac:dyDescent="0.3">
      <c r="A12" s="267" t="s">
        <v>116</v>
      </c>
      <c r="B12" s="267"/>
      <c r="C12" s="267"/>
      <c r="D12" s="267"/>
      <c r="E12" s="267"/>
      <c r="F12" s="267"/>
      <c r="G12" s="268"/>
    </row>
    <row r="14" spans="1:7" ht="16.5" customHeight="1" x14ac:dyDescent="0.3">
      <c r="A14" s="269" t="s">
        <v>34</v>
      </c>
      <c r="B14" s="269"/>
      <c r="C14" s="270" t="s">
        <v>117</v>
      </c>
    </row>
    <row r="15" spans="1:7" ht="16.5" customHeight="1" x14ac:dyDescent="0.3">
      <c r="A15" s="269" t="s">
        <v>35</v>
      </c>
      <c r="B15" s="269"/>
      <c r="C15" s="270" t="s">
        <v>118</v>
      </c>
    </row>
    <row r="16" spans="1:7" ht="16.5" customHeight="1" x14ac:dyDescent="0.3">
      <c r="A16" s="269" t="s">
        <v>36</v>
      </c>
      <c r="B16" s="269"/>
      <c r="C16" s="270" t="s">
        <v>119</v>
      </c>
    </row>
    <row r="17" spans="1:5" ht="16.5" customHeight="1" x14ac:dyDescent="0.3">
      <c r="A17" s="269" t="s">
        <v>37</v>
      </c>
      <c r="B17" s="269"/>
      <c r="C17" s="270" t="s">
        <v>120</v>
      </c>
    </row>
    <row r="18" spans="1:5" ht="16.5" customHeight="1" x14ac:dyDescent="0.3">
      <c r="A18" s="269" t="s">
        <v>38</v>
      </c>
      <c r="B18" s="269"/>
      <c r="C18" s="271" t="s">
        <v>121</v>
      </c>
    </row>
    <row r="19" spans="1:5" ht="16.5" customHeight="1" x14ac:dyDescent="0.3">
      <c r="A19" s="269" t="s">
        <v>39</v>
      </c>
      <c r="B19" s="269"/>
      <c r="C19" s="271" t="e">
        <f>#REF!</f>
        <v>#REF!</v>
      </c>
    </row>
    <row r="20" spans="1:5" ht="16.5" customHeight="1" x14ac:dyDescent="0.3">
      <c r="A20" s="272"/>
      <c r="B20" s="272"/>
      <c r="C20" s="273"/>
    </row>
    <row r="21" spans="1:5" ht="16.5" customHeight="1" x14ac:dyDescent="0.3">
      <c r="A21" s="267" t="s">
        <v>1</v>
      </c>
      <c r="B21" s="267"/>
      <c r="C21" s="274" t="s">
        <v>122</v>
      </c>
      <c r="D21" s="275"/>
    </row>
    <row r="22" spans="1:5" ht="15.75" customHeight="1" thickBot="1" x14ac:dyDescent="0.35">
      <c r="A22" s="276"/>
      <c r="B22" s="276"/>
      <c r="C22" s="277"/>
      <c r="D22" s="276"/>
      <c r="E22" s="276"/>
    </row>
    <row r="23" spans="1:5" ht="33.75" customHeight="1" thickBot="1" x14ac:dyDescent="0.35">
      <c r="C23" s="278" t="s">
        <v>123</v>
      </c>
      <c r="D23" s="279" t="s">
        <v>124</v>
      </c>
      <c r="E23" s="280"/>
    </row>
    <row r="24" spans="1:5" ht="15.75" customHeight="1" x14ac:dyDescent="0.3">
      <c r="C24" s="281">
        <v>99.7</v>
      </c>
      <c r="D24" s="282">
        <f t="shared" ref="D24:D43" si="0">(C24-$C$46)/$C$46</f>
        <v>-4.2446941323345533E-3</v>
      </c>
      <c r="E24" s="283"/>
    </row>
    <row r="25" spans="1:5" ht="15.75" customHeight="1" x14ac:dyDescent="0.3">
      <c r="C25" s="281">
        <v>98.9</v>
      </c>
      <c r="D25" s="284">
        <f t="shared" si="0"/>
        <v>-1.2234706616729032E-2</v>
      </c>
      <c r="E25" s="283"/>
    </row>
    <row r="26" spans="1:5" ht="15.75" customHeight="1" x14ac:dyDescent="0.3">
      <c r="C26" s="281">
        <v>99.94</v>
      </c>
      <c r="D26" s="284">
        <f t="shared" si="0"/>
        <v>-1.8476903870162525E-3</v>
      </c>
      <c r="E26" s="283"/>
    </row>
    <row r="27" spans="1:5" ht="15.75" customHeight="1" x14ac:dyDescent="0.3">
      <c r="C27" s="281">
        <v>102.06</v>
      </c>
      <c r="D27" s="284">
        <f t="shared" si="0"/>
        <v>1.9325842696629236E-2</v>
      </c>
      <c r="E27" s="283"/>
    </row>
    <row r="28" spans="1:5" ht="15.75" customHeight="1" x14ac:dyDescent="0.3">
      <c r="C28" s="281">
        <v>98.94</v>
      </c>
      <c r="D28" s="284">
        <f t="shared" si="0"/>
        <v>-1.1835205992509387E-2</v>
      </c>
      <c r="E28" s="283"/>
    </row>
    <row r="29" spans="1:5" ht="15.75" customHeight="1" x14ac:dyDescent="0.3">
      <c r="C29" s="281">
        <v>100.25</v>
      </c>
      <c r="D29" s="284">
        <f t="shared" si="0"/>
        <v>1.2484394506866417E-3</v>
      </c>
      <c r="E29" s="283"/>
    </row>
    <row r="30" spans="1:5" ht="15.75" customHeight="1" x14ac:dyDescent="0.3">
      <c r="C30" s="281">
        <v>99.57</v>
      </c>
      <c r="D30" s="284">
        <f t="shared" si="0"/>
        <v>-5.5430711610487569E-3</v>
      </c>
      <c r="E30" s="283"/>
    </row>
    <row r="31" spans="1:5" ht="15.75" customHeight="1" x14ac:dyDescent="0.3">
      <c r="C31" s="281">
        <v>100.68</v>
      </c>
      <c r="D31" s="284">
        <f t="shared" si="0"/>
        <v>5.5430711610487569E-3</v>
      </c>
      <c r="E31" s="283"/>
    </row>
    <row r="32" spans="1:5" ht="15.75" customHeight="1" x14ac:dyDescent="0.3">
      <c r="C32" s="281">
        <v>101.97</v>
      </c>
      <c r="D32" s="284">
        <f t="shared" si="0"/>
        <v>1.8426966292134819E-2</v>
      </c>
      <c r="E32" s="283"/>
    </row>
    <row r="33" spans="1:7" ht="15.75" customHeight="1" x14ac:dyDescent="0.3">
      <c r="C33" s="281">
        <v>99.69</v>
      </c>
      <c r="D33" s="284">
        <f t="shared" si="0"/>
        <v>-4.3445692883895357E-3</v>
      </c>
      <c r="E33" s="283"/>
    </row>
    <row r="34" spans="1:7" ht="15.75" customHeight="1" x14ac:dyDescent="0.3">
      <c r="C34" s="281">
        <v>99.91</v>
      </c>
      <c r="D34" s="284">
        <f t="shared" si="0"/>
        <v>-2.1473158551810578E-3</v>
      </c>
      <c r="E34" s="283"/>
    </row>
    <row r="35" spans="1:7" ht="15.75" customHeight="1" x14ac:dyDescent="0.3">
      <c r="C35" s="281">
        <v>99.16</v>
      </c>
      <c r="D35" s="284">
        <f t="shared" si="0"/>
        <v>-9.6379525593009076E-3</v>
      </c>
      <c r="E35" s="283"/>
    </row>
    <row r="36" spans="1:7" ht="15.75" customHeight="1" x14ac:dyDescent="0.3">
      <c r="C36" s="281">
        <v>99.5</v>
      </c>
      <c r="D36" s="284">
        <f t="shared" si="0"/>
        <v>-6.2421972534332081E-3</v>
      </c>
      <c r="E36" s="283"/>
    </row>
    <row r="37" spans="1:7" ht="15.75" customHeight="1" x14ac:dyDescent="0.3">
      <c r="C37" s="281">
        <v>100.11</v>
      </c>
      <c r="D37" s="284">
        <f t="shared" si="0"/>
        <v>-1.4981273408240267E-4</v>
      </c>
      <c r="E37" s="283"/>
    </row>
    <row r="38" spans="1:7" ht="15.75" customHeight="1" x14ac:dyDescent="0.3">
      <c r="C38" s="281">
        <v>102.49</v>
      </c>
      <c r="D38" s="284">
        <f t="shared" si="0"/>
        <v>2.3620474406991211E-2</v>
      </c>
      <c r="E38" s="283"/>
    </row>
    <row r="39" spans="1:7" ht="15.75" customHeight="1" x14ac:dyDescent="0.3">
      <c r="C39" s="281">
        <v>102.98</v>
      </c>
      <c r="D39" s="284">
        <f t="shared" si="0"/>
        <v>2.8514357053682937E-2</v>
      </c>
      <c r="E39" s="283"/>
    </row>
    <row r="40" spans="1:7" ht="15.75" customHeight="1" x14ac:dyDescent="0.3">
      <c r="C40" s="281">
        <v>99.03</v>
      </c>
      <c r="D40" s="284">
        <f t="shared" si="0"/>
        <v>-1.093632958801497E-2</v>
      </c>
      <c r="E40" s="283"/>
    </row>
    <row r="41" spans="1:7" ht="15.75" customHeight="1" x14ac:dyDescent="0.3">
      <c r="C41" s="281">
        <v>100.43</v>
      </c>
      <c r="D41" s="284">
        <f t="shared" si="0"/>
        <v>3.0461922596754739E-3</v>
      </c>
      <c r="E41" s="283"/>
    </row>
    <row r="42" spans="1:7" ht="15.75" customHeight="1" x14ac:dyDescent="0.3">
      <c r="C42" s="281">
        <v>97.85</v>
      </c>
      <c r="D42" s="284">
        <f t="shared" si="0"/>
        <v>-2.2721598002496936E-2</v>
      </c>
      <c r="E42" s="283"/>
    </row>
    <row r="43" spans="1:7" ht="16.5" customHeight="1" thickBot="1" x14ac:dyDescent="0.35">
      <c r="C43" s="285">
        <v>99.34</v>
      </c>
      <c r="D43" s="286">
        <f t="shared" si="0"/>
        <v>-7.8401997503120754E-3</v>
      </c>
      <c r="E43" s="283"/>
    </row>
    <row r="44" spans="1:7" ht="16.5" customHeight="1" thickBot="1" x14ac:dyDescent="0.35">
      <c r="C44" s="287"/>
      <c r="D44" s="283"/>
      <c r="E44" s="288"/>
    </row>
    <row r="45" spans="1:7" ht="16.5" customHeight="1" thickBot="1" x14ac:dyDescent="0.35">
      <c r="B45" s="289" t="s">
        <v>125</v>
      </c>
      <c r="C45" s="290">
        <f>SUM(C24:C44)</f>
        <v>2002.5</v>
      </c>
      <c r="D45" s="291"/>
      <c r="E45" s="287"/>
    </row>
    <row r="46" spans="1:7" ht="17.25" customHeight="1" thickBot="1" x14ac:dyDescent="0.35">
      <c r="B46" s="289" t="s">
        <v>91</v>
      </c>
      <c r="C46" s="292">
        <f>AVERAGE(C24:C44)</f>
        <v>100.125</v>
      </c>
      <c r="E46" s="293"/>
    </row>
    <row r="47" spans="1:7" ht="17.25" customHeight="1" thickBot="1" x14ac:dyDescent="0.35">
      <c r="A47" s="270"/>
      <c r="B47" s="294"/>
      <c r="D47" s="295"/>
      <c r="E47" s="293"/>
    </row>
    <row r="48" spans="1:7" ht="33.75" customHeight="1" thickBot="1" x14ac:dyDescent="0.35">
      <c r="B48" s="296" t="s">
        <v>91</v>
      </c>
      <c r="C48" s="279" t="s">
        <v>126</v>
      </c>
      <c r="D48" s="297"/>
      <c r="G48" s="295"/>
    </row>
    <row r="49" spans="1:6" ht="17.25" customHeight="1" thickBot="1" x14ac:dyDescent="0.35">
      <c r="B49" s="298">
        <f>C46</f>
        <v>100.125</v>
      </c>
      <c r="C49" s="299">
        <f>-IF(C46&lt;=80,10%,IF(C46&lt;250,7.5%,5%))</f>
        <v>-7.4999999999999997E-2</v>
      </c>
      <c r="D49" s="300">
        <f>IF(C46&lt;=80,C46*0.9,IF(C46&lt;250,C46*0.925,C46*0.95))</f>
        <v>92.615625000000009</v>
      </c>
    </row>
    <row r="50" spans="1:6" ht="17.25" customHeight="1" thickBot="1" x14ac:dyDescent="0.35">
      <c r="B50" s="301"/>
      <c r="C50" s="302">
        <f>IF(C46&lt;=80, 10%, IF(C46&lt;250, 7.5%, 5%))</f>
        <v>7.4999999999999997E-2</v>
      </c>
      <c r="D50" s="300">
        <f>IF(C46&lt;=80, C46*1.1, IF(C46&lt;250, C46*1.075, C46*1.05))</f>
        <v>107.63437499999999</v>
      </c>
    </row>
    <row r="51" spans="1:6" ht="16.5" customHeight="1" thickBot="1" x14ac:dyDescent="0.35">
      <c r="A51" s="303"/>
      <c r="B51" s="304"/>
      <c r="C51" s="270"/>
      <c r="D51" s="305"/>
      <c r="E51" s="270"/>
      <c r="F51" s="275"/>
    </row>
    <row r="52" spans="1:6" ht="16.5" customHeight="1" x14ac:dyDescent="0.3">
      <c r="A52" s="270"/>
      <c r="B52" s="306" t="s">
        <v>25</v>
      </c>
      <c r="C52" s="306"/>
      <c r="D52" s="307" t="s">
        <v>26</v>
      </c>
      <c r="E52" s="308"/>
      <c r="F52" s="307" t="s">
        <v>27</v>
      </c>
    </row>
    <row r="53" spans="1:6" ht="34.5" customHeight="1" x14ac:dyDescent="0.3">
      <c r="A53" s="272" t="s">
        <v>28</v>
      </c>
      <c r="B53" s="309"/>
      <c r="C53" s="270"/>
      <c r="D53" s="309"/>
      <c r="E53" s="270"/>
      <c r="F53" s="309"/>
    </row>
    <row r="54" spans="1:6" ht="34.5" customHeight="1" x14ac:dyDescent="0.3">
      <c r="A54" s="272" t="s">
        <v>29</v>
      </c>
      <c r="B54" s="310"/>
      <c r="C54" s="311"/>
      <c r="D54" s="310"/>
      <c r="E54" s="270"/>
      <c r="F54" s="312"/>
    </row>
  </sheetData>
  <sheetProtection password="9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" zoomScale="50" zoomScaleNormal="40" zoomScalePageLayoutView="50" workbookViewId="0">
      <selection activeCell="B103" sqref="B103"/>
    </sheetView>
  </sheetViews>
  <sheetFormatPr defaultColWidth="9.140625" defaultRowHeight="13.5" x14ac:dyDescent="0.25"/>
  <cols>
    <col min="1" max="1" width="55.42578125" style="315" customWidth="1"/>
    <col min="2" max="2" width="33.7109375" style="315" customWidth="1"/>
    <col min="3" max="3" width="42.28515625" style="315" customWidth="1"/>
    <col min="4" max="4" width="30.5703125" style="315" customWidth="1"/>
    <col min="5" max="5" width="39.85546875" style="315" customWidth="1"/>
    <col min="6" max="6" width="30.7109375" style="315" customWidth="1"/>
    <col min="7" max="7" width="39.85546875" style="315" customWidth="1"/>
    <col min="8" max="8" width="30" style="315" customWidth="1"/>
    <col min="9" max="9" width="30.28515625" style="315" hidden="1" customWidth="1"/>
    <col min="10" max="10" width="30.42578125" style="315" customWidth="1"/>
    <col min="11" max="11" width="21.28515625" style="315" customWidth="1"/>
    <col min="12" max="12" width="9.140625" style="315"/>
    <col min="13" max="16384" width="9.140625" style="322"/>
  </cols>
  <sheetData>
    <row r="1" spans="1:9" ht="18.75" customHeight="1" x14ac:dyDescent="0.25">
      <c r="A1" s="314" t="s">
        <v>30</v>
      </c>
      <c r="B1" s="314"/>
      <c r="C1" s="314"/>
      <c r="D1" s="314"/>
      <c r="E1" s="314"/>
      <c r="F1" s="314"/>
      <c r="G1" s="314"/>
      <c r="H1" s="314"/>
      <c r="I1" s="314"/>
    </row>
    <row r="2" spans="1:9" ht="18.75" customHeight="1" x14ac:dyDescent="0.25">
      <c r="A2" s="314"/>
      <c r="B2" s="314"/>
      <c r="C2" s="314"/>
      <c r="D2" s="314"/>
      <c r="E2" s="314"/>
      <c r="F2" s="314"/>
      <c r="G2" s="314"/>
      <c r="H2" s="314"/>
      <c r="I2" s="314"/>
    </row>
    <row r="3" spans="1:9" ht="18.75" customHeight="1" x14ac:dyDescent="0.25">
      <c r="A3" s="314"/>
      <c r="B3" s="314"/>
      <c r="C3" s="314"/>
      <c r="D3" s="314"/>
      <c r="E3" s="314"/>
      <c r="F3" s="314"/>
      <c r="G3" s="314"/>
      <c r="H3" s="314"/>
      <c r="I3" s="314"/>
    </row>
    <row r="4" spans="1:9" ht="18.75" customHeight="1" x14ac:dyDescent="0.25">
      <c r="A4" s="314"/>
      <c r="B4" s="314"/>
      <c r="C4" s="314"/>
      <c r="D4" s="314"/>
      <c r="E4" s="314"/>
      <c r="F4" s="314"/>
      <c r="G4" s="314"/>
      <c r="H4" s="314"/>
      <c r="I4" s="314"/>
    </row>
    <row r="5" spans="1:9" ht="18.75" customHeight="1" x14ac:dyDescent="0.25">
      <c r="A5" s="314"/>
      <c r="B5" s="314"/>
      <c r="C5" s="314"/>
      <c r="D5" s="314"/>
      <c r="E5" s="314"/>
      <c r="F5" s="314"/>
      <c r="G5" s="314"/>
      <c r="H5" s="314"/>
      <c r="I5" s="314"/>
    </row>
    <row r="6" spans="1:9" ht="18.75" customHeight="1" x14ac:dyDescent="0.25">
      <c r="A6" s="314"/>
      <c r="B6" s="314"/>
      <c r="C6" s="314"/>
      <c r="D6" s="314"/>
      <c r="E6" s="314"/>
      <c r="F6" s="314"/>
      <c r="G6" s="314"/>
      <c r="H6" s="314"/>
      <c r="I6" s="314"/>
    </row>
    <row r="7" spans="1:9" ht="18.75" customHeight="1" x14ac:dyDescent="0.25">
      <c r="A7" s="314"/>
      <c r="B7" s="314"/>
      <c r="C7" s="314"/>
      <c r="D7" s="314"/>
      <c r="E7" s="314"/>
      <c r="F7" s="314"/>
      <c r="G7" s="314"/>
      <c r="H7" s="314"/>
      <c r="I7" s="314"/>
    </row>
    <row r="8" spans="1:9" x14ac:dyDescent="0.25">
      <c r="A8" s="316" t="s">
        <v>31</v>
      </c>
      <c r="B8" s="316"/>
      <c r="C8" s="316"/>
      <c r="D8" s="316"/>
      <c r="E8" s="316"/>
      <c r="F8" s="316"/>
      <c r="G8" s="316"/>
      <c r="H8" s="316"/>
      <c r="I8" s="316"/>
    </row>
    <row r="9" spans="1:9" x14ac:dyDescent="0.25">
      <c r="A9" s="316"/>
      <c r="B9" s="316"/>
      <c r="C9" s="316"/>
      <c r="D9" s="316"/>
      <c r="E9" s="316"/>
      <c r="F9" s="316"/>
      <c r="G9" s="316"/>
      <c r="H9" s="316"/>
      <c r="I9" s="316"/>
    </row>
    <row r="10" spans="1:9" x14ac:dyDescent="0.25">
      <c r="A10" s="316"/>
      <c r="B10" s="316"/>
      <c r="C10" s="316"/>
      <c r="D10" s="316"/>
      <c r="E10" s="316"/>
      <c r="F10" s="316"/>
      <c r="G10" s="316"/>
      <c r="H10" s="316"/>
      <c r="I10" s="316"/>
    </row>
    <row r="11" spans="1:9" x14ac:dyDescent="0.25">
      <c r="A11" s="316"/>
      <c r="B11" s="316"/>
      <c r="C11" s="316"/>
      <c r="D11" s="316"/>
      <c r="E11" s="316"/>
      <c r="F11" s="316"/>
      <c r="G11" s="316"/>
      <c r="H11" s="316"/>
      <c r="I11" s="316"/>
    </row>
    <row r="12" spans="1:9" x14ac:dyDescent="0.25">
      <c r="A12" s="316"/>
      <c r="B12" s="316"/>
      <c r="C12" s="316"/>
      <c r="D12" s="316"/>
      <c r="E12" s="316"/>
      <c r="F12" s="316"/>
      <c r="G12" s="316"/>
      <c r="H12" s="316"/>
      <c r="I12" s="316"/>
    </row>
    <row r="13" spans="1:9" x14ac:dyDescent="0.25">
      <c r="A13" s="316"/>
      <c r="B13" s="316"/>
      <c r="C13" s="316"/>
      <c r="D13" s="316"/>
      <c r="E13" s="316"/>
      <c r="F13" s="316"/>
      <c r="G13" s="316"/>
      <c r="H13" s="316"/>
      <c r="I13" s="316"/>
    </row>
    <row r="14" spans="1:9" x14ac:dyDescent="0.25">
      <c r="A14" s="316"/>
      <c r="B14" s="316"/>
      <c r="C14" s="316"/>
      <c r="D14" s="316"/>
      <c r="E14" s="316"/>
      <c r="F14" s="316"/>
      <c r="G14" s="316"/>
      <c r="H14" s="316"/>
      <c r="I14" s="316"/>
    </row>
    <row r="15" spans="1:9" ht="19.5" customHeight="1" thickBot="1" x14ac:dyDescent="0.35">
      <c r="A15" s="317"/>
    </row>
    <row r="16" spans="1:9" ht="19.5" customHeight="1" thickBot="1" x14ac:dyDescent="0.35">
      <c r="A16" s="318" t="s">
        <v>32</v>
      </c>
      <c r="B16" s="319"/>
      <c r="C16" s="319"/>
      <c r="D16" s="319"/>
      <c r="E16" s="319"/>
      <c r="F16" s="319"/>
      <c r="G16" s="319"/>
      <c r="H16" s="320"/>
    </row>
    <row r="17" spans="1:14" ht="20.25" customHeight="1" x14ac:dyDescent="0.25">
      <c r="A17" s="321" t="s">
        <v>33</v>
      </c>
      <c r="B17" s="321"/>
      <c r="C17" s="321"/>
      <c r="D17" s="321"/>
      <c r="E17" s="321"/>
      <c r="F17" s="321"/>
      <c r="G17" s="321"/>
      <c r="H17" s="321"/>
    </row>
    <row r="18" spans="1:14" ht="26.25" customHeight="1" x14ac:dyDescent="0.4">
      <c r="A18" s="323" t="s">
        <v>34</v>
      </c>
      <c r="B18" s="324" t="s">
        <v>5</v>
      </c>
      <c r="C18" s="324"/>
      <c r="D18" s="325"/>
      <c r="E18" s="326"/>
      <c r="F18" s="327"/>
      <c r="G18" s="327"/>
      <c r="H18" s="327"/>
    </row>
    <row r="19" spans="1:14" ht="26.25" customHeight="1" x14ac:dyDescent="0.4">
      <c r="A19" s="323" t="s">
        <v>35</v>
      </c>
      <c r="B19" s="328" t="s">
        <v>151</v>
      </c>
      <c r="C19" s="327">
        <v>29</v>
      </c>
      <c r="D19" s="327"/>
      <c r="E19" s="327"/>
      <c r="F19" s="327"/>
      <c r="G19" s="327"/>
      <c r="H19" s="327"/>
    </row>
    <row r="20" spans="1:14" ht="26.25" customHeight="1" x14ac:dyDescent="0.4">
      <c r="A20" s="323" t="s">
        <v>36</v>
      </c>
      <c r="B20" s="329" t="s">
        <v>152</v>
      </c>
      <c r="C20" s="329"/>
      <c r="D20" s="327"/>
      <c r="E20" s="327"/>
      <c r="F20" s="327"/>
      <c r="G20" s="327"/>
      <c r="H20" s="327"/>
    </row>
    <row r="21" spans="1:14" ht="26.25" customHeight="1" x14ac:dyDescent="0.4">
      <c r="A21" s="323" t="s">
        <v>37</v>
      </c>
      <c r="B21" s="329" t="s">
        <v>153</v>
      </c>
      <c r="C21" s="329"/>
      <c r="D21" s="329"/>
      <c r="E21" s="329"/>
      <c r="F21" s="329"/>
      <c r="G21" s="329"/>
      <c r="H21" s="329"/>
      <c r="I21" s="330"/>
    </row>
    <row r="22" spans="1:14" ht="26.25" customHeight="1" x14ac:dyDescent="0.4">
      <c r="A22" s="323" t="s">
        <v>38</v>
      </c>
      <c r="B22" s="331">
        <v>42552</v>
      </c>
      <c r="C22" s="327"/>
      <c r="D22" s="327"/>
      <c r="E22" s="327"/>
      <c r="F22" s="327"/>
      <c r="G22" s="327"/>
      <c r="H22" s="327"/>
    </row>
    <row r="23" spans="1:14" ht="26.25" customHeight="1" x14ac:dyDescent="0.4">
      <c r="A23" s="323" t="s">
        <v>39</v>
      </c>
      <c r="B23" s="331">
        <v>42556</v>
      </c>
      <c r="C23" s="327"/>
      <c r="D23" s="327"/>
      <c r="E23" s="327"/>
      <c r="F23" s="327"/>
      <c r="G23" s="327"/>
      <c r="H23" s="327"/>
    </row>
    <row r="24" spans="1:14" ht="18.75" x14ac:dyDescent="0.3">
      <c r="A24" s="323"/>
      <c r="B24" s="332"/>
    </row>
    <row r="25" spans="1:14" ht="18.75" x14ac:dyDescent="0.3">
      <c r="A25" s="333" t="s">
        <v>1</v>
      </c>
      <c r="B25" s="332"/>
    </row>
    <row r="26" spans="1:14" ht="26.25" customHeight="1" x14ac:dyDescent="0.4">
      <c r="A26" s="334" t="s">
        <v>4</v>
      </c>
      <c r="B26" s="324" t="s">
        <v>152</v>
      </c>
      <c r="C26" s="324"/>
    </row>
    <row r="27" spans="1:14" ht="26.25" customHeight="1" x14ac:dyDescent="0.4">
      <c r="A27" s="335" t="s">
        <v>40</v>
      </c>
      <c r="B27" s="336" t="s">
        <v>154</v>
      </c>
      <c r="C27" s="336"/>
    </row>
    <row r="28" spans="1:14" ht="27" customHeight="1" thickBot="1" x14ac:dyDescent="0.45">
      <c r="A28" s="335" t="s">
        <v>6</v>
      </c>
      <c r="B28" s="337">
        <v>98.9</v>
      </c>
    </row>
    <row r="29" spans="1:14" s="342" customFormat="1" ht="27" customHeight="1" thickBot="1" x14ac:dyDescent="0.45">
      <c r="A29" s="335" t="s">
        <v>41</v>
      </c>
      <c r="B29" s="338">
        <v>0.22</v>
      </c>
      <c r="C29" s="339" t="s">
        <v>98</v>
      </c>
      <c r="D29" s="340"/>
      <c r="E29" s="340"/>
      <c r="F29" s="340"/>
      <c r="G29" s="341"/>
      <c r="I29" s="343"/>
      <c r="J29" s="343"/>
      <c r="K29" s="343"/>
      <c r="L29" s="343"/>
    </row>
    <row r="30" spans="1:14" s="342" customFormat="1" ht="19.5" customHeight="1" thickBot="1" x14ac:dyDescent="0.35">
      <c r="A30" s="335" t="s">
        <v>43</v>
      </c>
      <c r="B30" s="344">
        <f>B28-B29</f>
        <v>98.68</v>
      </c>
      <c r="C30" s="345"/>
      <c r="D30" s="345"/>
      <c r="E30" s="345"/>
      <c r="F30" s="345"/>
      <c r="G30" s="346"/>
      <c r="I30" s="343"/>
      <c r="J30" s="343"/>
      <c r="K30" s="343"/>
      <c r="L30" s="343"/>
    </row>
    <row r="31" spans="1:14" s="342" customFormat="1" ht="27" customHeight="1" thickBot="1" x14ac:dyDescent="0.45">
      <c r="A31" s="335" t="s">
        <v>44</v>
      </c>
      <c r="B31" s="347">
        <v>1</v>
      </c>
      <c r="C31" s="348" t="s">
        <v>45</v>
      </c>
      <c r="D31" s="349"/>
      <c r="E31" s="349"/>
      <c r="F31" s="349"/>
      <c r="G31" s="349"/>
      <c r="H31" s="350"/>
      <c r="I31" s="343"/>
      <c r="J31" s="343"/>
      <c r="K31" s="343"/>
      <c r="L31" s="343"/>
    </row>
    <row r="32" spans="1:14" s="342" customFormat="1" ht="27" customHeight="1" thickBot="1" x14ac:dyDescent="0.45">
      <c r="A32" s="335" t="s">
        <v>46</v>
      </c>
      <c r="B32" s="347">
        <v>1</v>
      </c>
      <c r="C32" s="348" t="s">
        <v>47</v>
      </c>
      <c r="D32" s="349"/>
      <c r="E32" s="349"/>
      <c r="F32" s="349"/>
      <c r="G32" s="349"/>
      <c r="H32" s="350"/>
      <c r="I32" s="343"/>
      <c r="J32" s="343"/>
      <c r="K32" s="343"/>
      <c r="L32" s="351"/>
      <c r="M32" s="351"/>
      <c r="N32" s="352"/>
    </row>
    <row r="33" spans="1:14" s="342" customFormat="1" ht="17.25" customHeight="1" x14ac:dyDescent="0.3">
      <c r="A33" s="335"/>
      <c r="B33" s="353"/>
      <c r="C33" s="354"/>
      <c r="D33" s="354"/>
      <c r="E33" s="354"/>
      <c r="F33" s="354"/>
      <c r="G33" s="354"/>
      <c r="H33" s="354"/>
      <c r="I33" s="343"/>
      <c r="J33" s="343"/>
      <c r="K33" s="343"/>
      <c r="L33" s="351"/>
      <c r="M33" s="351"/>
      <c r="N33" s="352"/>
    </row>
    <row r="34" spans="1:14" s="342" customFormat="1" ht="18.75" x14ac:dyDescent="0.3">
      <c r="A34" s="335" t="s">
        <v>48</v>
      </c>
      <c r="B34" s="355">
        <f>B31/B32</f>
        <v>1</v>
      </c>
      <c r="C34" s="317" t="s">
        <v>49</v>
      </c>
      <c r="D34" s="317"/>
      <c r="E34" s="317"/>
      <c r="F34" s="317"/>
      <c r="G34" s="317"/>
      <c r="I34" s="343"/>
      <c r="J34" s="343"/>
      <c r="K34" s="343"/>
      <c r="L34" s="351"/>
      <c r="M34" s="351"/>
      <c r="N34" s="352"/>
    </row>
    <row r="35" spans="1:14" s="342" customFormat="1" ht="19.5" customHeight="1" thickBot="1" x14ac:dyDescent="0.35">
      <c r="A35" s="335"/>
      <c r="B35" s="344"/>
      <c r="G35" s="317"/>
      <c r="I35" s="343"/>
      <c r="J35" s="343"/>
      <c r="K35" s="343"/>
      <c r="L35" s="351"/>
      <c r="M35" s="351"/>
      <c r="N35" s="352"/>
    </row>
    <row r="36" spans="1:14" s="342" customFormat="1" ht="27" customHeight="1" thickBot="1" x14ac:dyDescent="0.45">
      <c r="A36" s="356" t="s">
        <v>127</v>
      </c>
      <c r="B36" s="357">
        <v>50</v>
      </c>
      <c r="C36" s="317"/>
      <c r="D36" s="358" t="s">
        <v>51</v>
      </c>
      <c r="E36" s="359"/>
      <c r="F36" s="358" t="s">
        <v>52</v>
      </c>
      <c r="G36" s="360"/>
      <c r="J36" s="343"/>
      <c r="K36" s="343"/>
      <c r="L36" s="351"/>
      <c r="M36" s="351"/>
      <c r="N36" s="352"/>
    </row>
    <row r="37" spans="1:14" s="342" customFormat="1" ht="27" customHeight="1" thickBot="1" x14ac:dyDescent="0.45">
      <c r="A37" s="361" t="s">
        <v>53</v>
      </c>
      <c r="B37" s="362">
        <v>1</v>
      </c>
      <c r="C37" s="363" t="s">
        <v>54</v>
      </c>
      <c r="D37" s="364" t="s">
        <v>55</v>
      </c>
      <c r="E37" s="365" t="s">
        <v>56</v>
      </c>
      <c r="F37" s="364" t="s">
        <v>55</v>
      </c>
      <c r="G37" s="366" t="s">
        <v>56</v>
      </c>
      <c r="I37" s="367" t="s">
        <v>128</v>
      </c>
      <c r="J37" s="343"/>
      <c r="K37" s="343"/>
      <c r="L37" s="351"/>
      <c r="M37" s="351"/>
      <c r="N37" s="352"/>
    </row>
    <row r="38" spans="1:14" s="342" customFormat="1" ht="26.25" customHeight="1" x14ac:dyDescent="0.4">
      <c r="A38" s="361" t="s">
        <v>57</v>
      </c>
      <c r="B38" s="362">
        <v>1</v>
      </c>
      <c r="C38" s="368">
        <v>1</v>
      </c>
      <c r="D38" s="369">
        <v>152710074</v>
      </c>
      <c r="E38" s="370">
        <f>IF(ISBLANK(D38),"-",$D$48/$D$45*D38)</f>
        <v>145307803.85596922</v>
      </c>
      <c r="F38" s="369">
        <v>138863139</v>
      </c>
      <c r="G38" s="371">
        <f>IF(ISBLANK(F38),"-",$D$48/$F$45*F38)</f>
        <v>145522907.55029467</v>
      </c>
      <c r="I38" s="372"/>
      <c r="J38" s="343"/>
      <c r="K38" s="343"/>
      <c r="L38" s="351"/>
      <c r="M38" s="351"/>
      <c r="N38" s="352"/>
    </row>
    <row r="39" spans="1:14" s="342" customFormat="1" ht="26.25" customHeight="1" x14ac:dyDescent="0.4">
      <c r="A39" s="361" t="s">
        <v>58</v>
      </c>
      <c r="B39" s="362">
        <v>1</v>
      </c>
      <c r="C39" s="373">
        <v>2</v>
      </c>
      <c r="D39" s="374">
        <v>152999802</v>
      </c>
      <c r="E39" s="375">
        <f>IF(ISBLANK(D39),"-",$D$48/$D$45*D39)</f>
        <v>145583487.95651901</v>
      </c>
      <c r="F39" s="374">
        <v>138995826</v>
      </c>
      <c r="G39" s="376">
        <f>IF(ISBLANK(F39),"-",$D$48/$F$45*F39)</f>
        <v>145661958.11600402</v>
      </c>
      <c r="I39" s="377">
        <f>ABS((F43/D43*D42)-F42)/D42</f>
        <v>1.2162285687679086E-4</v>
      </c>
      <c r="J39" s="343"/>
      <c r="K39" s="343"/>
      <c r="L39" s="351"/>
      <c r="M39" s="351"/>
      <c r="N39" s="352"/>
    </row>
    <row r="40" spans="1:14" ht="26.25" customHeight="1" x14ac:dyDescent="0.4">
      <c r="A40" s="361" t="s">
        <v>59</v>
      </c>
      <c r="B40" s="362">
        <v>1</v>
      </c>
      <c r="C40" s="373">
        <v>3</v>
      </c>
      <c r="D40" s="374">
        <v>153121742</v>
      </c>
      <c r="E40" s="375">
        <f>IF(ISBLANK(D40),"-",$D$48/$D$45*D40)</f>
        <v>145699517.19504976</v>
      </c>
      <c r="F40" s="374">
        <v>138807332</v>
      </c>
      <c r="G40" s="376">
        <f>IF(ISBLANK(F40),"-",$D$48/$F$45*F40)</f>
        <v>145464424.08981594</v>
      </c>
      <c r="I40" s="377"/>
      <c r="L40" s="351"/>
      <c r="M40" s="351"/>
      <c r="N40" s="317"/>
    </row>
    <row r="41" spans="1:14" ht="27" customHeight="1" thickBot="1" x14ac:dyDescent="0.45">
      <c r="A41" s="361" t="s">
        <v>60</v>
      </c>
      <c r="B41" s="362">
        <v>1</v>
      </c>
      <c r="C41" s="378">
        <v>4</v>
      </c>
      <c r="D41" s="379"/>
      <c r="E41" s="380" t="str">
        <f>IF(ISBLANK(D41),"-",$D$48/$D$45*D41)</f>
        <v>-</v>
      </c>
      <c r="F41" s="379"/>
      <c r="G41" s="381" t="str">
        <f>IF(ISBLANK(F41),"-",$D$48/$F$45*F41)</f>
        <v>-</v>
      </c>
      <c r="I41" s="382"/>
      <c r="L41" s="351"/>
      <c r="M41" s="351"/>
      <c r="N41" s="317"/>
    </row>
    <row r="42" spans="1:14" ht="27" customHeight="1" thickBot="1" x14ac:dyDescent="0.45">
      <c r="A42" s="361" t="s">
        <v>61</v>
      </c>
      <c r="B42" s="362">
        <v>1</v>
      </c>
      <c r="C42" s="383" t="s">
        <v>62</v>
      </c>
      <c r="D42" s="384">
        <f>AVERAGE(D38:D41)</f>
        <v>152943872.66666666</v>
      </c>
      <c r="E42" s="385">
        <f>AVERAGE(E38:E41)</f>
        <v>145530269.66917932</v>
      </c>
      <c r="F42" s="384">
        <f>AVERAGE(F38:F41)</f>
        <v>138888765.66666666</v>
      </c>
      <c r="G42" s="386">
        <f>AVERAGE(G38:G41)</f>
        <v>145549763.25203821</v>
      </c>
      <c r="H42" s="387"/>
    </row>
    <row r="43" spans="1:14" ht="26.25" customHeight="1" x14ac:dyDescent="0.4">
      <c r="A43" s="361" t="s">
        <v>63</v>
      </c>
      <c r="B43" s="362">
        <v>1</v>
      </c>
      <c r="C43" s="388" t="s">
        <v>129</v>
      </c>
      <c r="D43" s="389">
        <v>21.3</v>
      </c>
      <c r="E43" s="317"/>
      <c r="F43" s="389">
        <v>19.34</v>
      </c>
      <c r="H43" s="387"/>
    </row>
    <row r="44" spans="1:14" ht="26.25" customHeight="1" x14ac:dyDescent="0.4">
      <c r="A44" s="361" t="s">
        <v>65</v>
      </c>
      <c r="B44" s="362">
        <v>1</v>
      </c>
      <c r="C44" s="390" t="s">
        <v>130</v>
      </c>
      <c r="D44" s="391">
        <f>D43*$B$34</f>
        <v>21.3</v>
      </c>
      <c r="E44" s="392"/>
      <c r="F44" s="391">
        <f>F43*$B$34</f>
        <v>19.34</v>
      </c>
      <c r="H44" s="387"/>
    </row>
    <row r="45" spans="1:14" ht="19.5" customHeight="1" thickBot="1" x14ac:dyDescent="0.35">
      <c r="A45" s="361" t="s">
        <v>67</v>
      </c>
      <c r="B45" s="373">
        <f>(B44/B43)*(B42/B41)*(B40/B39)*(B38/B37)*B36</f>
        <v>50</v>
      </c>
      <c r="C45" s="390" t="s">
        <v>68</v>
      </c>
      <c r="D45" s="393">
        <f>D44*$B$30/100</f>
        <v>21.018840000000001</v>
      </c>
      <c r="E45" s="394"/>
      <c r="F45" s="393">
        <f>F44*$B$30/100</f>
        <v>19.084712000000003</v>
      </c>
      <c r="H45" s="387"/>
    </row>
    <row r="46" spans="1:14" ht="19.5" customHeight="1" thickBot="1" x14ac:dyDescent="0.35">
      <c r="A46" s="395" t="s">
        <v>69</v>
      </c>
      <c r="B46" s="396"/>
      <c r="C46" s="390" t="s">
        <v>70</v>
      </c>
      <c r="D46" s="397">
        <f>D45/$B$45</f>
        <v>0.42037679999999999</v>
      </c>
      <c r="E46" s="398"/>
      <c r="F46" s="399">
        <f>F45/$B$45</f>
        <v>0.38169424000000007</v>
      </c>
      <c r="H46" s="387"/>
    </row>
    <row r="47" spans="1:14" ht="27" customHeight="1" thickBot="1" x14ac:dyDescent="0.45">
      <c r="A47" s="400"/>
      <c r="B47" s="401"/>
      <c r="C47" s="402" t="s">
        <v>131</v>
      </c>
      <c r="D47" s="403">
        <v>0.4</v>
      </c>
      <c r="E47" s="404"/>
      <c r="F47" s="398"/>
      <c r="H47" s="387"/>
    </row>
    <row r="48" spans="1:14" ht="18.75" x14ac:dyDescent="0.3">
      <c r="C48" s="405" t="s">
        <v>72</v>
      </c>
      <c r="D48" s="393">
        <f>D47*$B$45</f>
        <v>20</v>
      </c>
      <c r="F48" s="406"/>
      <c r="H48" s="387"/>
    </row>
    <row r="49" spans="1:12" ht="19.5" customHeight="1" thickBot="1" x14ac:dyDescent="0.35">
      <c r="C49" s="407" t="s">
        <v>73</v>
      </c>
      <c r="D49" s="408">
        <f>D48/B34</f>
        <v>20</v>
      </c>
      <c r="F49" s="406"/>
      <c r="H49" s="387"/>
    </row>
    <row r="50" spans="1:12" ht="18.75" x14ac:dyDescent="0.3">
      <c r="C50" s="356" t="s">
        <v>74</v>
      </c>
      <c r="D50" s="409">
        <f>AVERAGE(E38:E41,G38:G41)</f>
        <v>145540016.46060875</v>
      </c>
      <c r="F50" s="410"/>
      <c r="H50" s="387"/>
    </row>
    <row r="51" spans="1:12" ht="18.75" x14ac:dyDescent="0.3">
      <c r="C51" s="361" t="s">
        <v>75</v>
      </c>
      <c r="D51" s="411">
        <f>STDEV(E38:E41,G38:G41)/D50</f>
        <v>9.819931846689015E-4</v>
      </c>
      <c r="F51" s="410"/>
      <c r="H51" s="387"/>
    </row>
    <row r="52" spans="1:12" ht="19.5" customHeight="1" thickBot="1" x14ac:dyDescent="0.35">
      <c r="C52" s="412" t="s">
        <v>20</v>
      </c>
      <c r="D52" s="413">
        <f>COUNT(E38:E41,G38:G41)</f>
        <v>6</v>
      </c>
      <c r="F52" s="410"/>
    </row>
    <row r="54" spans="1:12" ht="18.75" x14ac:dyDescent="0.3">
      <c r="A54" s="414" t="s">
        <v>1</v>
      </c>
      <c r="B54" s="415" t="s">
        <v>76</v>
      </c>
    </row>
    <row r="55" spans="1:12" ht="18.75" x14ac:dyDescent="0.3">
      <c r="A55" s="317" t="s">
        <v>77</v>
      </c>
      <c r="B55" s="416" t="str">
        <f>B21</f>
        <v>Torsemide USP 10 MG</v>
      </c>
    </row>
    <row r="56" spans="1:12" ht="26.25" customHeight="1" x14ac:dyDescent="0.4">
      <c r="A56" s="416" t="s">
        <v>132</v>
      </c>
      <c r="B56" s="417">
        <v>10</v>
      </c>
      <c r="C56" s="317" t="str">
        <f>B20</f>
        <v>Torsemide</v>
      </c>
      <c r="H56" s="392"/>
    </row>
    <row r="57" spans="1:12" ht="18.75" x14ac:dyDescent="0.3">
      <c r="A57" s="416" t="s">
        <v>133</v>
      </c>
      <c r="B57" s="418">
        <f>Uniformity!C46</f>
        <v>100.125</v>
      </c>
      <c r="H57" s="392"/>
    </row>
    <row r="58" spans="1:12" ht="19.5" customHeight="1" thickBot="1" x14ac:dyDescent="0.35">
      <c r="H58" s="392"/>
    </row>
    <row r="59" spans="1:12" s="342" customFormat="1" ht="27" customHeight="1" thickBot="1" x14ac:dyDescent="0.45">
      <c r="A59" s="356" t="s">
        <v>134</v>
      </c>
      <c r="B59" s="357">
        <v>100</v>
      </c>
      <c r="C59" s="317"/>
      <c r="D59" s="419" t="s">
        <v>135</v>
      </c>
      <c r="E59" s="420" t="s">
        <v>54</v>
      </c>
      <c r="F59" s="420" t="s">
        <v>55</v>
      </c>
      <c r="G59" s="420" t="s">
        <v>136</v>
      </c>
      <c r="H59" s="363" t="s">
        <v>137</v>
      </c>
      <c r="L59" s="343"/>
    </row>
    <row r="60" spans="1:12" s="342" customFormat="1" ht="26.25" customHeight="1" x14ac:dyDescent="0.4">
      <c r="A60" s="361" t="s">
        <v>138</v>
      </c>
      <c r="B60" s="362">
        <v>1</v>
      </c>
      <c r="C60" s="421" t="s">
        <v>139</v>
      </c>
      <c r="D60" s="422">
        <v>401.41</v>
      </c>
      <c r="E60" s="423">
        <v>1</v>
      </c>
      <c r="F60" s="424">
        <v>142085214</v>
      </c>
      <c r="G60" s="425">
        <f>IF(ISBLANK(F60),"-",(F60/$D$50*$D$47*$B$68)*($B$57/$D$60))</f>
        <v>9.7404898678662359</v>
      </c>
      <c r="H60" s="426">
        <f t="shared" ref="H60:H71" si="0">IF(ISBLANK(F60),"-",G60/$B$56)</f>
        <v>0.97404898678662355</v>
      </c>
      <c r="L60" s="343"/>
    </row>
    <row r="61" spans="1:12" s="342" customFormat="1" ht="26.25" customHeight="1" x14ac:dyDescent="0.4">
      <c r="A61" s="361" t="s">
        <v>106</v>
      </c>
      <c r="B61" s="362">
        <v>1</v>
      </c>
      <c r="C61" s="427"/>
      <c r="D61" s="428"/>
      <c r="E61" s="429">
        <v>2</v>
      </c>
      <c r="F61" s="374">
        <v>141938117</v>
      </c>
      <c r="G61" s="430">
        <f>IF(ISBLANK(F61),"-",(F61/$D$50*$D$47*$B$68)*($B$57/$D$60))</f>
        <v>9.730405800722604</v>
      </c>
      <c r="H61" s="431">
        <f t="shared" si="0"/>
        <v>0.97304058007226035</v>
      </c>
      <c r="L61" s="343"/>
    </row>
    <row r="62" spans="1:12" s="342" customFormat="1" ht="26.25" customHeight="1" x14ac:dyDescent="0.4">
      <c r="A62" s="361" t="s">
        <v>107</v>
      </c>
      <c r="B62" s="362">
        <v>1</v>
      </c>
      <c r="C62" s="427"/>
      <c r="D62" s="428"/>
      <c r="E62" s="429">
        <v>3</v>
      </c>
      <c r="F62" s="432">
        <v>141985230</v>
      </c>
      <c r="G62" s="430">
        <f>IF(ISBLANK(F62),"-",(F62/$D$50*$D$47*$B$68)*($B$57/$D$60))</f>
        <v>9.7336355787285296</v>
      </c>
      <c r="H62" s="431">
        <f t="shared" si="0"/>
        <v>0.973363557872853</v>
      </c>
      <c r="L62" s="343"/>
    </row>
    <row r="63" spans="1:12" ht="27" customHeight="1" thickBot="1" x14ac:dyDescent="0.45">
      <c r="A63" s="361" t="s">
        <v>108</v>
      </c>
      <c r="B63" s="362">
        <v>1</v>
      </c>
      <c r="C63" s="433"/>
      <c r="D63" s="434"/>
      <c r="E63" s="435">
        <v>4</v>
      </c>
      <c r="F63" s="436"/>
      <c r="G63" s="430" t="str">
        <f>IF(ISBLANK(F63),"-",(F63/$D$50*$D$47*$B$68)*($B$57/$D$60))</f>
        <v>-</v>
      </c>
      <c r="H63" s="431" t="str">
        <f t="shared" si="0"/>
        <v>-</v>
      </c>
    </row>
    <row r="64" spans="1:12" ht="26.25" customHeight="1" x14ac:dyDescent="0.4">
      <c r="A64" s="361" t="s">
        <v>109</v>
      </c>
      <c r="B64" s="362">
        <v>1</v>
      </c>
      <c r="C64" s="421" t="s">
        <v>140</v>
      </c>
      <c r="D64" s="422">
        <v>398.39</v>
      </c>
      <c r="E64" s="423">
        <v>1</v>
      </c>
      <c r="F64" s="424">
        <v>139224103</v>
      </c>
      <c r="G64" s="437">
        <f>IF(ISBLANK(F64),"-",(F64/$D$50*$D$47*$B$68)*($B$57/$D$64))</f>
        <v>9.6167007179015549</v>
      </c>
      <c r="H64" s="438">
        <f t="shared" si="0"/>
        <v>0.96167007179015551</v>
      </c>
    </row>
    <row r="65" spans="1:8" ht="26.25" customHeight="1" x14ac:dyDescent="0.4">
      <c r="A65" s="361" t="s">
        <v>110</v>
      </c>
      <c r="B65" s="362">
        <v>1</v>
      </c>
      <c r="C65" s="427"/>
      <c r="D65" s="428"/>
      <c r="E65" s="429">
        <v>2</v>
      </c>
      <c r="F65" s="374">
        <v>139207710</v>
      </c>
      <c r="G65" s="439">
        <f>IF(ISBLANK(F65),"-",(F65/$D$50*$D$47*$B$68)*($B$57/$D$64))</f>
        <v>9.6155683954697952</v>
      </c>
      <c r="H65" s="440">
        <f t="shared" si="0"/>
        <v>0.96155683954697957</v>
      </c>
    </row>
    <row r="66" spans="1:8" ht="26.25" customHeight="1" x14ac:dyDescent="0.4">
      <c r="A66" s="361" t="s">
        <v>111</v>
      </c>
      <c r="B66" s="362">
        <v>1</v>
      </c>
      <c r="C66" s="427"/>
      <c r="D66" s="428"/>
      <c r="E66" s="429">
        <v>3</v>
      </c>
      <c r="F66" s="374">
        <v>139403027</v>
      </c>
      <c r="G66" s="439">
        <f>IF(ISBLANK(F66),"-",(F66/$D$50*$D$47*$B$68)*($B$57/$D$64))</f>
        <v>9.629059630777796</v>
      </c>
      <c r="H66" s="440">
        <f t="shared" si="0"/>
        <v>0.96290596307777965</v>
      </c>
    </row>
    <row r="67" spans="1:8" ht="27" customHeight="1" thickBot="1" x14ac:dyDescent="0.45">
      <c r="A67" s="361" t="s">
        <v>112</v>
      </c>
      <c r="B67" s="362">
        <v>1</v>
      </c>
      <c r="C67" s="433"/>
      <c r="D67" s="434"/>
      <c r="E67" s="435">
        <v>4</v>
      </c>
      <c r="F67" s="436"/>
      <c r="G67" s="441" t="str">
        <f>IF(ISBLANK(F67),"-",(F67/$D$50*$D$47*$B$68)*($B$57/$D$64))</f>
        <v>-</v>
      </c>
      <c r="H67" s="442" t="str">
        <f t="shared" si="0"/>
        <v>-</v>
      </c>
    </row>
    <row r="68" spans="1:8" ht="26.25" customHeight="1" x14ac:dyDescent="0.4">
      <c r="A68" s="361" t="s">
        <v>113</v>
      </c>
      <c r="B68" s="443">
        <f>(B67/B66)*(B65/B64)*(B63/B62)*(B61/B60)*B59</f>
        <v>100</v>
      </c>
      <c r="C68" s="421" t="s">
        <v>141</v>
      </c>
      <c r="D68" s="422">
        <v>400.08</v>
      </c>
      <c r="E68" s="423">
        <v>1</v>
      </c>
      <c r="F68" s="424">
        <v>141042094</v>
      </c>
      <c r="G68" s="437">
        <f>IF(ISBLANK(F68),"-",(F68/$D$50*$D$47*$B$68)*($B$57/$D$68))</f>
        <v>9.7011228952277051</v>
      </c>
      <c r="H68" s="431">
        <f t="shared" si="0"/>
        <v>0.97011228952277051</v>
      </c>
    </row>
    <row r="69" spans="1:8" ht="27" customHeight="1" thickBot="1" x14ac:dyDescent="0.45">
      <c r="A69" s="412" t="s">
        <v>142</v>
      </c>
      <c r="B69" s="444">
        <f>(D47*B68)/B56*B57</f>
        <v>400.5</v>
      </c>
      <c r="C69" s="427"/>
      <c r="D69" s="428"/>
      <c r="E69" s="429">
        <v>2</v>
      </c>
      <c r="F69" s="374">
        <v>140861245</v>
      </c>
      <c r="G69" s="439">
        <f>IF(ISBLANK(F69),"-",(F69/$D$50*$D$47*$B$68)*($B$57/$D$68))</f>
        <v>9.6886837834368738</v>
      </c>
      <c r="H69" s="431">
        <f t="shared" si="0"/>
        <v>0.96886837834368733</v>
      </c>
    </row>
    <row r="70" spans="1:8" ht="26.25" customHeight="1" x14ac:dyDescent="0.4">
      <c r="A70" s="445" t="s">
        <v>69</v>
      </c>
      <c r="B70" s="446"/>
      <c r="C70" s="427"/>
      <c r="D70" s="428"/>
      <c r="E70" s="429">
        <v>3</v>
      </c>
      <c r="F70" s="374">
        <v>140938586</v>
      </c>
      <c r="G70" s="439">
        <f>IF(ISBLANK(F70),"-",(F70/$D$50*$D$47*$B$68)*($B$57/$D$68))</f>
        <v>9.6940034332276621</v>
      </c>
      <c r="H70" s="431">
        <f t="shared" si="0"/>
        <v>0.96940034332276626</v>
      </c>
    </row>
    <row r="71" spans="1:8" ht="27" customHeight="1" thickBot="1" x14ac:dyDescent="0.45">
      <c r="A71" s="447"/>
      <c r="B71" s="448"/>
      <c r="C71" s="449"/>
      <c r="D71" s="434"/>
      <c r="E71" s="435">
        <v>4</v>
      </c>
      <c r="F71" s="436"/>
      <c r="G71" s="441" t="str">
        <f>IF(ISBLANK(F71),"-",(F71/$D$50*$D$47*$B$68)*($B$57/$D$68))</f>
        <v>-</v>
      </c>
      <c r="H71" s="450" t="str">
        <f t="shared" si="0"/>
        <v>-</v>
      </c>
    </row>
    <row r="72" spans="1:8" ht="26.25" customHeight="1" x14ac:dyDescent="0.4">
      <c r="A72" s="392"/>
      <c r="B72" s="392"/>
      <c r="C72" s="392"/>
      <c r="D72" s="392"/>
      <c r="E72" s="392"/>
      <c r="F72" s="451" t="s">
        <v>62</v>
      </c>
      <c r="G72" s="452">
        <f>AVERAGE(G60:G71)</f>
        <v>9.6832966781509739</v>
      </c>
      <c r="H72" s="453">
        <f>AVERAGE(H60:H71)</f>
        <v>0.96832966781509733</v>
      </c>
    </row>
    <row r="73" spans="1:8" ht="26.25" customHeight="1" x14ac:dyDescent="0.4">
      <c r="C73" s="392"/>
      <c r="D73" s="392"/>
      <c r="E73" s="392"/>
      <c r="F73" s="454" t="s">
        <v>75</v>
      </c>
      <c r="G73" s="455">
        <f>STDEV(G60:G71)/G72</f>
        <v>5.221241705225821E-3</v>
      </c>
      <c r="H73" s="455">
        <f>STDEV(H60:H71)/H72</f>
        <v>5.2212417052257985E-3</v>
      </c>
    </row>
    <row r="74" spans="1:8" ht="27" customHeight="1" thickBot="1" x14ac:dyDescent="0.45">
      <c r="A74" s="392"/>
      <c r="B74" s="392"/>
      <c r="C74" s="392"/>
      <c r="D74" s="392"/>
      <c r="E74" s="394"/>
      <c r="F74" s="456" t="s">
        <v>20</v>
      </c>
      <c r="G74" s="457">
        <f>COUNT(G60:G71)</f>
        <v>9</v>
      </c>
      <c r="H74" s="457">
        <f>COUNT(H60:H71)</f>
        <v>9</v>
      </c>
    </row>
    <row r="76" spans="1:8" ht="26.25" customHeight="1" x14ac:dyDescent="0.4">
      <c r="A76" s="334" t="s">
        <v>143</v>
      </c>
      <c r="B76" s="335" t="s">
        <v>87</v>
      </c>
      <c r="C76" s="458" t="str">
        <f>B20</f>
        <v>Torsemide</v>
      </c>
      <c r="D76" s="458"/>
      <c r="E76" s="317" t="s">
        <v>88</v>
      </c>
      <c r="F76" s="317"/>
      <c r="G76" s="459">
        <f>H72</f>
        <v>0.96832966781509733</v>
      </c>
      <c r="H76" s="344"/>
    </row>
    <row r="77" spans="1:8" ht="18.75" x14ac:dyDescent="0.3">
      <c r="A77" s="333" t="s">
        <v>96</v>
      </c>
      <c r="B77" s="333" t="s">
        <v>97</v>
      </c>
    </row>
    <row r="78" spans="1:8" ht="18.75" x14ac:dyDescent="0.3">
      <c r="A78" s="333"/>
      <c r="B78" s="333"/>
    </row>
    <row r="79" spans="1:8" ht="26.25" customHeight="1" x14ac:dyDescent="0.4">
      <c r="A79" s="334" t="s">
        <v>4</v>
      </c>
      <c r="B79" s="460" t="str">
        <f>B26</f>
        <v>Torsemide</v>
      </c>
      <c r="C79" s="460"/>
    </row>
    <row r="80" spans="1:8" ht="26.25" customHeight="1" x14ac:dyDescent="0.4">
      <c r="A80" s="335" t="s">
        <v>40</v>
      </c>
      <c r="B80" s="460" t="str">
        <f>B27</f>
        <v>T</v>
      </c>
      <c r="C80" s="460"/>
    </row>
    <row r="81" spans="1:12" ht="27" customHeight="1" thickBot="1" x14ac:dyDescent="0.45">
      <c r="A81" s="335" t="s">
        <v>6</v>
      </c>
      <c r="B81" s="337">
        <f>B28</f>
        <v>98.9</v>
      </c>
    </row>
    <row r="82" spans="1:12" s="342" customFormat="1" ht="27" customHeight="1" thickBot="1" x14ac:dyDescent="0.45">
      <c r="A82" s="335" t="s">
        <v>41</v>
      </c>
      <c r="B82" s="338">
        <v>0.22</v>
      </c>
      <c r="C82" s="339" t="s">
        <v>98</v>
      </c>
      <c r="D82" s="340"/>
      <c r="E82" s="340"/>
      <c r="F82" s="340"/>
      <c r="G82" s="341"/>
      <c r="I82" s="343"/>
      <c r="J82" s="343"/>
      <c r="K82" s="343"/>
      <c r="L82" s="343"/>
    </row>
    <row r="83" spans="1:12" s="342" customFormat="1" ht="19.5" customHeight="1" thickBot="1" x14ac:dyDescent="0.35">
      <c r="A83" s="335" t="s">
        <v>43</v>
      </c>
      <c r="B83" s="344">
        <f>B81-B82</f>
        <v>98.68</v>
      </c>
      <c r="C83" s="345"/>
      <c r="D83" s="345"/>
      <c r="E83" s="345"/>
      <c r="F83" s="345"/>
      <c r="G83" s="346"/>
      <c r="I83" s="343"/>
      <c r="J83" s="343"/>
      <c r="K83" s="343"/>
      <c r="L83" s="343"/>
    </row>
    <row r="84" spans="1:12" s="342" customFormat="1" ht="27" customHeight="1" thickBot="1" x14ac:dyDescent="0.45">
      <c r="A84" s="335" t="s">
        <v>44</v>
      </c>
      <c r="B84" s="347">
        <v>1</v>
      </c>
      <c r="C84" s="348" t="s">
        <v>144</v>
      </c>
      <c r="D84" s="349"/>
      <c r="E84" s="349"/>
      <c r="F84" s="349"/>
      <c r="G84" s="349"/>
      <c r="H84" s="350"/>
      <c r="I84" s="343"/>
      <c r="J84" s="343"/>
      <c r="K84" s="343"/>
      <c r="L84" s="343"/>
    </row>
    <row r="85" spans="1:12" s="342" customFormat="1" ht="27" customHeight="1" thickBot="1" x14ac:dyDescent="0.45">
      <c r="A85" s="335" t="s">
        <v>46</v>
      </c>
      <c r="B85" s="347">
        <v>1</v>
      </c>
      <c r="C85" s="348" t="s">
        <v>145</v>
      </c>
      <c r="D85" s="349"/>
      <c r="E85" s="349"/>
      <c r="F85" s="349"/>
      <c r="G85" s="349"/>
      <c r="H85" s="350"/>
      <c r="I85" s="343"/>
      <c r="J85" s="343"/>
      <c r="K85" s="343"/>
      <c r="L85" s="343"/>
    </row>
    <row r="86" spans="1:12" s="342" customFormat="1" ht="18.75" x14ac:dyDescent="0.3">
      <c r="A86" s="335"/>
      <c r="B86" s="353"/>
      <c r="C86" s="354"/>
      <c r="D86" s="354"/>
      <c r="E86" s="354"/>
      <c r="F86" s="354"/>
      <c r="G86" s="354"/>
      <c r="H86" s="354"/>
      <c r="I86" s="343"/>
      <c r="J86" s="343"/>
      <c r="K86" s="343"/>
      <c r="L86" s="343"/>
    </row>
    <row r="87" spans="1:12" s="342" customFormat="1" ht="18.75" x14ac:dyDescent="0.3">
      <c r="A87" s="335" t="s">
        <v>48</v>
      </c>
      <c r="B87" s="355">
        <f>B84/B85</f>
        <v>1</v>
      </c>
      <c r="C87" s="317" t="s">
        <v>49</v>
      </c>
      <c r="D87" s="317"/>
      <c r="E87" s="317"/>
      <c r="F87" s="317"/>
      <c r="G87" s="317"/>
      <c r="I87" s="343"/>
      <c r="J87" s="343"/>
      <c r="K87" s="343"/>
      <c r="L87" s="343"/>
    </row>
    <row r="88" spans="1:12" ht="19.5" customHeight="1" thickBot="1" x14ac:dyDescent="0.35">
      <c r="A88" s="333"/>
      <c r="B88" s="333"/>
    </row>
    <row r="89" spans="1:12" ht="27" customHeight="1" thickBot="1" x14ac:dyDescent="0.45">
      <c r="A89" s="356" t="s">
        <v>127</v>
      </c>
      <c r="B89" s="357">
        <v>50</v>
      </c>
      <c r="D89" s="461" t="s">
        <v>51</v>
      </c>
      <c r="E89" s="462"/>
      <c r="F89" s="358" t="s">
        <v>52</v>
      </c>
      <c r="G89" s="360"/>
    </row>
    <row r="90" spans="1:12" ht="27" customHeight="1" thickBot="1" x14ac:dyDescent="0.45">
      <c r="A90" s="361" t="s">
        <v>53</v>
      </c>
      <c r="B90" s="362">
        <v>4</v>
      </c>
      <c r="C90" s="463" t="s">
        <v>54</v>
      </c>
      <c r="D90" s="364" t="s">
        <v>55</v>
      </c>
      <c r="E90" s="365" t="s">
        <v>56</v>
      </c>
      <c r="F90" s="364" t="s">
        <v>55</v>
      </c>
      <c r="G90" s="464" t="s">
        <v>56</v>
      </c>
      <c r="I90" s="367" t="s">
        <v>128</v>
      </c>
    </row>
    <row r="91" spans="1:12" ht="26.25" customHeight="1" x14ac:dyDescent="0.4">
      <c r="A91" s="361" t="s">
        <v>57</v>
      </c>
      <c r="B91" s="362">
        <v>25</v>
      </c>
      <c r="C91" s="465">
        <v>1</v>
      </c>
      <c r="D91" s="369">
        <v>39033177</v>
      </c>
      <c r="E91" s="370">
        <f>IF(ISBLANK(D91),"-",$D$101/$D$98*D91)</f>
        <v>40300708.966138631</v>
      </c>
      <c r="F91" s="369">
        <v>35425121</v>
      </c>
      <c r="G91" s="371">
        <f>IF(ISBLANK(F91),"-",$D$101/$F$98*F91)</f>
        <v>40282207.41591198</v>
      </c>
      <c r="I91" s="372"/>
    </row>
    <row r="92" spans="1:12" ht="26.25" customHeight="1" x14ac:dyDescent="0.4">
      <c r="A92" s="361" t="s">
        <v>58</v>
      </c>
      <c r="B92" s="362">
        <v>4</v>
      </c>
      <c r="C92" s="392">
        <v>2</v>
      </c>
      <c r="D92" s="374">
        <v>38783509</v>
      </c>
      <c r="E92" s="375">
        <f>IF(ISBLANK(D92),"-",$D$101/$D$98*D92)</f>
        <v>40042933.448502496</v>
      </c>
      <c r="F92" s="374">
        <v>35589365</v>
      </c>
      <c r="G92" s="376">
        <f>IF(ISBLANK(F92),"-",$D$101/$F$98*F92)</f>
        <v>40468970.670011207</v>
      </c>
      <c r="I92" s="377">
        <f>ABS((F96/D96*D95)-F95)/D95</f>
        <v>6.5442967412534456E-3</v>
      </c>
    </row>
    <row r="93" spans="1:12" ht="26.25" customHeight="1" x14ac:dyDescent="0.4">
      <c r="A93" s="361" t="s">
        <v>59</v>
      </c>
      <c r="B93" s="362">
        <v>25</v>
      </c>
      <c r="C93" s="392">
        <v>3</v>
      </c>
      <c r="D93" s="374">
        <v>38741434</v>
      </c>
      <c r="E93" s="375">
        <f>IF(ISBLANK(D93),"-",$D$101/$D$98*D93)</f>
        <v>39999492.138825089</v>
      </c>
      <c r="F93" s="374">
        <v>35580889</v>
      </c>
      <c r="G93" s="376">
        <f>IF(ISBLANK(F93),"-",$D$101/$F$98*F93)</f>
        <v>40459332.538074911</v>
      </c>
      <c r="I93" s="377"/>
    </row>
    <row r="94" spans="1:12" ht="27" customHeight="1" thickBot="1" x14ac:dyDescent="0.45">
      <c r="A94" s="361" t="s">
        <v>60</v>
      </c>
      <c r="B94" s="362">
        <v>1</v>
      </c>
      <c r="C94" s="466">
        <v>4</v>
      </c>
      <c r="D94" s="379"/>
      <c r="E94" s="380" t="str">
        <f>IF(ISBLANK(D94),"-",$D$101/$D$98*D94)</f>
        <v>-</v>
      </c>
      <c r="F94" s="467"/>
      <c r="G94" s="381" t="str">
        <f>IF(ISBLANK(F94),"-",$D$101/$F$98*F94)</f>
        <v>-</v>
      </c>
      <c r="I94" s="382"/>
    </row>
    <row r="95" spans="1:12" ht="27" customHeight="1" thickBot="1" x14ac:dyDescent="0.45">
      <c r="A95" s="361" t="s">
        <v>61</v>
      </c>
      <c r="B95" s="362">
        <v>1</v>
      </c>
      <c r="C95" s="335" t="s">
        <v>62</v>
      </c>
      <c r="D95" s="468">
        <f>AVERAGE(D91:D94)</f>
        <v>38852706.666666664</v>
      </c>
      <c r="E95" s="385">
        <f>AVERAGE(E91:E94)</f>
        <v>40114378.184488736</v>
      </c>
      <c r="F95" s="469">
        <f>AVERAGE(F91:F94)</f>
        <v>35531791.666666664</v>
      </c>
      <c r="G95" s="470">
        <f>AVERAGE(G91:G94)</f>
        <v>40403503.541332699</v>
      </c>
    </row>
    <row r="96" spans="1:12" ht="26.25" customHeight="1" x14ac:dyDescent="0.4">
      <c r="A96" s="361" t="s">
        <v>63</v>
      </c>
      <c r="B96" s="337">
        <v>1</v>
      </c>
      <c r="C96" s="471" t="s">
        <v>64</v>
      </c>
      <c r="D96" s="472">
        <v>21.3</v>
      </c>
      <c r="E96" s="317"/>
      <c r="F96" s="389">
        <v>19.34</v>
      </c>
    </row>
    <row r="97" spans="1:10" ht="26.25" customHeight="1" x14ac:dyDescent="0.4">
      <c r="A97" s="361" t="s">
        <v>65</v>
      </c>
      <c r="B97" s="337">
        <v>1</v>
      </c>
      <c r="C97" s="473" t="s">
        <v>66</v>
      </c>
      <c r="D97" s="474">
        <f>D96*$B$87</f>
        <v>21.3</v>
      </c>
      <c r="E97" s="392"/>
      <c r="F97" s="391">
        <f>F96*$B$87</f>
        <v>19.34</v>
      </c>
    </row>
    <row r="98" spans="1:10" ht="19.5" customHeight="1" thickBot="1" x14ac:dyDescent="0.35">
      <c r="A98" s="361" t="s">
        <v>67</v>
      </c>
      <c r="B98" s="392">
        <f>(B97/B96)*(B95/B94)*(B93/B92)*(B91/B90)*B89</f>
        <v>1953.125</v>
      </c>
      <c r="C98" s="473" t="s">
        <v>146</v>
      </c>
      <c r="D98" s="475">
        <f>D97*$B$83/100</f>
        <v>21.018840000000001</v>
      </c>
      <c r="E98" s="394"/>
      <c r="F98" s="393">
        <f>F97*$B$83/100</f>
        <v>19.084712000000003</v>
      </c>
    </row>
    <row r="99" spans="1:10" ht="19.5" customHeight="1" thickBot="1" x14ac:dyDescent="0.35">
      <c r="A99" s="395" t="s">
        <v>69</v>
      </c>
      <c r="B99" s="476"/>
      <c r="C99" s="473" t="s">
        <v>147</v>
      </c>
      <c r="D99" s="477">
        <f>D98/$B$98</f>
        <v>1.0761646080000001E-2</v>
      </c>
      <c r="E99" s="394"/>
      <c r="F99" s="399">
        <f>F98/$B$98</f>
        <v>9.7713725440000017E-3</v>
      </c>
      <c r="H99" s="387"/>
    </row>
    <row r="100" spans="1:10" ht="19.5" customHeight="1" thickBot="1" x14ac:dyDescent="0.35">
      <c r="A100" s="400"/>
      <c r="B100" s="478"/>
      <c r="C100" s="473" t="s">
        <v>131</v>
      </c>
      <c r="D100" s="479">
        <f>$B$56/$B$116</f>
        <v>1.1111111111111112E-2</v>
      </c>
      <c r="F100" s="406"/>
      <c r="G100" s="480"/>
      <c r="H100" s="387"/>
    </row>
    <row r="101" spans="1:10" ht="18.75" x14ac:dyDescent="0.3">
      <c r="C101" s="473" t="s">
        <v>72</v>
      </c>
      <c r="D101" s="474">
        <f>D100*$B$98</f>
        <v>21.701388888888889</v>
      </c>
      <c r="F101" s="406"/>
      <c r="H101" s="387"/>
    </row>
    <row r="102" spans="1:10" ht="19.5" customHeight="1" thickBot="1" x14ac:dyDescent="0.35">
      <c r="C102" s="481" t="s">
        <v>73</v>
      </c>
      <c r="D102" s="482">
        <f>D101/B34</f>
        <v>21.701388888888889</v>
      </c>
      <c r="F102" s="410"/>
      <c r="H102" s="387"/>
      <c r="J102" s="483"/>
    </row>
    <row r="103" spans="1:10" ht="18.75" x14ac:dyDescent="0.3">
      <c r="C103" s="484" t="s">
        <v>148</v>
      </c>
      <c r="D103" s="485">
        <f>AVERAGE(E91:E94,G91:G94)</f>
        <v>40258940.862910718</v>
      </c>
      <c r="F103" s="410"/>
      <c r="G103" s="480"/>
      <c r="H103" s="387"/>
      <c r="J103" s="486"/>
    </row>
    <row r="104" spans="1:10" ht="18.75" x14ac:dyDescent="0.3">
      <c r="C104" s="454" t="s">
        <v>75</v>
      </c>
      <c r="D104" s="487">
        <f>STDEV(E91:E94,G91:G94)/D103</f>
        <v>4.9743949674449115E-3</v>
      </c>
      <c r="F104" s="410"/>
      <c r="H104" s="387"/>
      <c r="J104" s="486"/>
    </row>
    <row r="105" spans="1:10" ht="19.5" customHeight="1" thickBot="1" x14ac:dyDescent="0.35">
      <c r="C105" s="456" t="s">
        <v>20</v>
      </c>
      <c r="D105" s="488">
        <f>COUNT(E91:E94,G91:G94)</f>
        <v>6</v>
      </c>
      <c r="F105" s="410"/>
      <c r="H105" s="387"/>
      <c r="J105" s="486"/>
    </row>
    <row r="106" spans="1:10" ht="19.5" customHeight="1" thickBot="1" x14ac:dyDescent="0.35">
      <c r="A106" s="414"/>
      <c r="B106" s="414"/>
      <c r="C106" s="414"/>
      <c r="D106" s="414"/>
      <c r="E106" s="414"/>
    </row>
    <row r="107" spans="1:10" ht="26.25" customHeight="1" x14ac:dyDescent="0.4">
      <c r="A107" s="356" t="s">
        <v>101</v>
      </c>
      <c r="B107" s="357">
        <v>900</v>
      </c>
      <c r="C107" s="461" t="s">
        <v>149</v>
      </c>
      <c r="D107" s="489" t="s">
        <v>55</v>
      </c>
      <c r="E107" s="490" t="s">
        <v>103</v>
      </c>
      <c r="F107" s="491" t="s">
        <v>104</v>
      </c>
    </row>
    <row r="108" spans="1:10" ht="26.25" customHeight="1" x14ac:dyDescent="0.4">
      <c r="A108" s="361" t="s">
        <v>105</v>
      </c>
      <c r="B108" s="362">
        <v>1</v>
      </c>
      <c r="C108" s="492">
        <v>1</v>
      </c>
      <c r="D108" s="493">
        <v>36219426</v>
      </c>
      <c r="E108" s="494">
        <f t="shared" ref="E108:E113" si="1">IF(ISBLANK(D108),"-",D108/$D$103*$D$100*$B$116)</f>
        <v>8.9966167076610315</v>
      </c>
      <c r="F108" s="495">
        <f t="shared" ref="F108:F113" si="2">IF(ISBLANK(D108), "-", E108/$B$56)</f>
        <v>0.89966167076610315</v>
      </c>
    </row>
    <row r="109" spans="1:10" ht="26.25" customHeight="1" x14ac:dyDescent="0.4">
      <c r="A109" s="361" t="s">
        <v>106</v>
      </c>
      <c r="B109" s="362">
        <v>1</v>
      </c>
      <c r="C109" s="492">
        <v>2</v>
      </c>
      <c r="D109" s="493">
        <v>35720844</v>
      </c>
      <c r="E109" s="496">
        <f t="shared" si="1"/>
        <v>8.87277291313654</v>
      </c>
      <c r="F109" s="497">
        <f t="shared" si="2"/>
        <v>0.88727729131365396</v>
      </c>
    </row>
    <row r="110" spans="1:10" ht="26.25" customHeight="1" x14ac:dyDescent="0.4">
      <c r="A110" s="361" t="s">
        <v>107</v>
      </c>
      <c r="B110" s="362">
        <v>1</v>
      </c>
      <c r="C110" s="492">
        <v>3</v>
      </c>
      <c r="D110" s="493">
        <v>35843190</v>
      </c>
      <c r="E110" s="496">
        <f t="shared" si="1"/>
        <v>8.9031626842973406</v>
      </c>
      <c r="F110" s="497">
        <f t="shared" si="2"/>
        <v>0.8903162684297341</v>
      </c>
    </row>
    <row r="111" spans="1:10" ht="26.25" customHeight="1" x14ac:dyDescent="0.4">
      <c r="A111" s="361" t="s">
        <v>108</v>
      </c>
      <c r="B111" s="362">
        <v>1</v>
      </c>
      <c r="C111" s="492">
        <v>4</v>
      </c>
      <c r="D111" s="493">
        <v>36416957</v>
      </c>
      <c r="E111" s="496">
        <f t="shared" si="1"/>
        <v>9.0456818335103755</v>
      </c>
      <c r="F111" s="497">
        <f t="shared" si="2"/>
        <v>0.9045681833510375</v>
      </c>
    </row>
    <row r="112" spans="1:10" ht="26.25" customHeight="1" x14ac:dyDescent="0.4">
      <c r="A112" s="361" t="s">
        <v>109</v>
      </c>
      <c r="B112" s="362">
        <v>1</v>
      </c>
      <c r="C112" s="492">
        <v>5</v>
      </c>
      <c r="D112" s="493">
        <v>36266697</v>
      </c>
      <c r="E112" s="496">
        <f t="shared" si="1"/>
        <v>9.0083584472564588</v>
      </c>
      <c r="F112" s="497">
        <f t="shared" si="2"/>
        <v>0.90083584472564593</v>
      </c>
    </row>
    <row r="113" spans="1:10" ht="26.25" customHeight="1" x14ac:dyDescent="0.4">
      <c r="A113" s="361" t="s">
        <v>110</v>
      </c>
      <c r="B113" s="362">
        <v>1</v>
      </c>
      <c r="C113" s="498">
        <v>6</v>
      </c>
      <c r="D113" s="499">
        <v>36136228</v>
      </c>
      <c r="E113" s="500">
        <f t="shared" si="1"/>
        <v>8.9759509876453709</v>
      </c>
      <c r="F113" s="501">
        <f t="shared" si="2"/>
        <v>0.89759509876453714</v>
      </c>
    </row>
    <row r="114" spans="1:10" ht="26.25" customHeight="1" x14ac:dyDescent="0.4">
      <c r="A114" s="361" t="s">
        <v>111</v>
      </c>
      <c r="B114" s="362">
        <v>1</v>
      </c>
      <c r="C114" s="492"/>
      <c r="D114" s="392"/>
      <c r="E114" s="317"/>
      <c r="F114" s="502"/>
    </row>
    <row r="115" spans="1:10" ht="26.25" customHeight="1" x14ac:dyDescent="0.4">
      <c r="A115" s="361" t="s">
        <v>112</v>
      </c>
      <c r="B115" s="362">
        <v>1</v>
      </c>
      <c r="C115" s="492"/>
      <c r="D115" s="503" t="s">
        <v>62</v>
      </c>
      <c r="E115" s="504">
        <f>AVERAGE(E108:E113)</f>
        <v>8.9670905955845193</v>
      </c>
      <c r="F115" s="505">
        <f>AVERAGE(F108:F113)</f>
        <v>0.89670905955845193</v>
      </c>
    </row>
    <row r="116" spans="1:10" ht="27" customHeight="1" thickBot="1" x14ac:dyDescent="0.45">
      <c r="A116" s="361" t="s">
        <v>113</v>
      </c>
      <c r="B116" s="373">
        <f>(B115/B114)*(B113/B112)*(B111/B110)*(B109/B108)*B107</f>
        <v>900</v>
      </c>
      <c r="C116" s="506"/>
      <c r="D116" s="335" t="s">
        <v>75</v>
      </c>
      <c r="E116" s="507">
        <f>STDEV(E108:E113)/E115</f>
        <v>7.3657394649806326E-3</v>
      </c>
      <c r="F116" s="507">
        <f>STDEV(F108:F113)/F115</f>
        <v>7.3657394649806335E-3</v>
      </c>
      <c r="I116" s="317"/>
    </row>
    <row r="117" spans="1:10" ht="27" customHeight="1" thickBot="1" x14ac:dyDescent="0.45">
      <c r="A117" s="395" t="s">
        <v>69</v>
      </c>
      <c r="B117" s="396"/>
      <c r="C117" s="508"/>
      <c r="D117" s="509" t="s">
        <v>20</v>
      </c>
      <c r="E117" s="510">
        <f>COUNT(E108:E113)</f>
        <v>6</v>
      </c>
      <c r="F117" s="510">
        <f>COUNT(F108:F113)</f>
        <v>6</v>
      </c>
      <c r="I117" s="317"/>
      <c r="J117" s="486"/>
    </row>
    <row r="118" spans="1:10" ht="19.5" customHeight="1" thickBot="1" x14ac:dyDescent="0.35">
      <c r="A118" s="400"/>
      <c r="B118" s="401"/>
      <c r="C118" s="317"/>
      <c r="D118" s="317"/>
      <c r="E118" s="317"/>
      <c r="F118" s="392"/>
      <c r="G118" s="317"/>
      <c r="H118" s="317"/>
      <c r="I118" s="317"/>
    </row>
    <row r="119" spans="1:10" ht="18.75" x14ac:dyDescent="0.3">
      <c r="A119" s="511"/>
      <c r="B119" s="354"/>
      <c r="C119" s="317"/>
      <c r="D119" s="317"/>
      <c r="E119" s="317"/>
      <c r="F119" s="392"/>
      <c r="G119" s="317"/>
      <c r="H119" s="317"/>
      <c r="I119" s="317"/>
    </row>
    <row r="120" spans="1:10" ht="26.25" customHeight="1" x14ac:dyDescent="0.4">
      <c r="A120" s="334" t="s">
        <v>143</v>
      </c>
      <c r="B120" s="335" t="s">
        <v>114</v>
      </c>
      <c r="C120" s="458" t="str">
        <f>B20</f>
        <v>Torsemide</v>
      </c>
      <c r="D120" s="458"/>
      <c r="E120" s="317" t="s">
        <v>115</v>
      </c>
      <c r="F120" s="317"/>
      <c r="G120" s="459">
        <f>F115</f>
        <v>0.89670905955845193</v>
      </c>
      <c r="H120" s="317"/>
      <c r="I120" s="317"/>
    </row>
    <row r="121" spans="1:10" ht="19.5" customHeight="1" thickBot="1" x14ac:dyDescent="0.35">
      <c r="A121" s="512"/>
      <c r="B121" s="512"/>
      <c r="C121" s="513"/>
      <c r="D121" s="513"/>
      <c r="E121" s="513"/>
      <c r="F121" s="513"/>
      <c r="G121" s="513"/>
      <c r="H121" s="513"/>
    </row>
    <row r="122" spans="1:10" ht="18.75" x14ac:dyDescent="0.3">
      <c r="B122" s="514" t="s">
        <v>25</v>
      </c>
      <c r="C122" s="514"/>
      <c r="E122" s="463" t="s">
        <v>26</v>
      </c>
      <c r="F122" s="515"/>
      <c r="G122" s="514" t="s">
        <v>27</v>
      </c>
      <c r="H122" s="514"/>
    </row>
    <row r="123" spans="1:10" ht="69.95" customHeight="1" x14ac:dyDescent="0.3">
      <c r="A123" s="334" t="s">
        <v>28</v>
      </c>
      <c r="B123" s="516"/>
      <c r="C123" s="516"/>
      <c r="E123" s="516"/>
      <c r="F123" s="317"/>
      <c r="G123" s="516"/>
      <c r="H123" s="516"/>
    </row>
    <row r="124" spans="1:10" ht="69.95" customHeight="1" x14ac:dyDescent="0.3">
      <c r="A124" s="334" t="s">
        <v>29</v>
      </c>
      <c r="B124" s="517"/>
      <c r="C124" s="517"/>
      <c r="E124" s="517"/>
      <c r="F124" s="317"/>
      <c r="G124" s="518"/>
      <c r="H124" s="518"/>
    </row>
    <row r="125" spans="1:10" ht="18.75" x14ac:dyDescent="0.3">
      <c r="A125" s="392"/>
      <c r="B125" s="392"/>
      <c r="C125" s="392"/>
      <c r="D125" s="392"/>
      <c r="E125" s="392"/>
      <c r="F125" s="394"/>
      <c r="G125" s="392"/>
      <c r="H125" s="392"/>
      <c r="I125" s="317"/>
    </row>
    <row r="126" spans="1:10" ht="18.75" x14ac:dyDescent="0.3">
      <c r="A126" s="392"/>
      <c r="B126" s="392"/>
      <c r="C126" s="392"/>
      <c r="D126" s="392"/>
      <c r="E126" s="392"/>
      <c r="F126" s="394"/>
      <c r="G126" s="392"/>
      <c r="H126" s="392"/>
      <c r="I126" s="317"/>
    </row>
    <row r="127" spans="1:10" ht="18.75" x14ac:dyDescent="0.3">
      <c r="A127" s="392"/>
      <c r="B127" s="392"/>
      <c r="C127" s="392"/>
      <c r="D127" s="392"/>
      <c r="E127" s="392"/>
      <c r="F127" s="394"/>
      <c r="G127" s="392"/>
      <c r="H127" s="392"/>
      <c r="I127" s="317"/>
    </row>
    <row r="128" spans="1:10" ht="18.75" x14ac:dyDescent="0.3">
      <c r="A128" s="392"/>
      <c r="B128" s="392"/>
      <c r="C128" s="392"/>
      <c r="D128" s="392"/>
      <c r="E128" s="392"/>
      <c r="F128" s="394"/>
      <c r="G128" s="392"/>
      <c r="H128" s="392"/>
      <c r="I128" s="317"/>
    </row>
    <row r="129" spans="1:9" ht="18.75" x14ac:dyDescent="0.3">
      <c r="A129" s="392"/>
      <c r="B129" s="392"/>
      <c r="C129" s="392"/>
      <c r="D129" s="392"/>
      <c r="E129" s="392"/>
      <c r="F129" s="394"/>
      <c r="G129" s="392"/>
      <c r="H129" s="392"/>
      <c r="I129" s="317"/>
    </row>
    <row r="130" spans="1:9" ht="18.75" x14ac:dyDescent="0.3">
      <c r="A130" s="392"/>
      <c r="B130" s="392"/>
      <c r="C130" s="392"/>
      <c r="D130" s="392"/>
      <c r="E130" s="392"/>
      <c r="F130" s="394"/>
      <c r="G130" s="392"/>
      <c r="H130" s="392"/>
      <c r="I130" s="317"/>
    </row>
    <row r="131" spans="1:9" ht="18.75" x14ac:dyDescent="0.3">
      <c r="A131" s="392"/>
      <c r="B131" s="392"/>
      <c r="C131" s="392"/>
      <c r="D131" s="392"/>
      <c r="E131" s="392"/>
      <c r="F131" s="394"/>
      <c r="G131" s="392"/>
      <c r="H131" s="392"/>
      <c r="I131" s="317"/>
    </row>
    <row r="132" spans="1:9" ht="18.75" x14ac:dyDescent="0.3">
      <c r="A132" s="392"/>
      <c r="B132" s="392"/>
      <c r="C132" s="392"/>
      <c r="D132" s="392"/>
      <c r="E132" s="392"/>
      <c r="F132" s="394"/>
      <c r="G132" s="392"/>
      <c r="H132" s="392"/>
      <c r="I132" s="317"/>
    </row>
    <row r="133" spans="1:9" ht="18.75" x14ac:dyDescent="0.3">
      <c r="A133" s="392"/>
      <c r="B133" s="392"/>
      <c r="C133" s="392"/>
      <c r="D133" s="392"/>
      <c r="E133" s="392"/>
      <c r="F133" s="394"/>
      <c r="G133" s="392"/>
      <c r="H133" s="392"/>
      <c r="I133" s="317"/>
    </row>
    <row r="250" spans="1:1" x14ac:dyDescent="0.25">
      <c r="A250" s="315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1" priority="1" operator="greaterThan">
      <formula>0.02</formula>
    </cfRule>
  </conditionalFormatting>
  <conditionalFormatting sqref="D51">
    <cfRule type="cellIs" dxfId="10" priority="2" operator="greaterThan">
      <formula>0.02</formula>
    </cfRule>
  </conditionalFormatting>
  <conditionalFormatting sqref="G73">
    <cfRule type="cellIs" dxfId="9" priority="3" operator="greaterThan">
      <formula>0.02</formula>
    </cfRule>
  </conditionalFormatting>
  <conditionalFormatting sqref="H73">
    <cfRule type="cellIs" dxfId="8" priority="4" operator="greaterThan">
      <formula>0.02</formula>
    </cfRule>
  </conditionalFormatting>
  <conditionalFormatting sqref="D104">
    <cfRule type="cellIs" dxfId="7" priority="5" operator="greaterThan">
      <formula>0.02</formula>
    </cfRule>
  </conditionalFormatting>
  <conditionalFormatting sqref="I39">
    <cfRule type="cellIs" dxfId="6" priority="6" operator="lessThanOrEqual">
      <formula>0.02</formula>
    </cfRule>
  </conditionalFormatting>
  <conditionalFormatting sqref="I39">
    <cfRule type="cellIs" dxfId="5" priority="7" operator="greaterThan">
      <formula>0.02</formula>
    </cfRule>
  </conditionalFormatting>
  <conditionalFormatting sqref="I92">
    <cfRule type="cellIs" dxfId="4" priority="8" operator="lessThanOrEqual">
      <formula>0.02</formula>
    </cfRule>
  </conditionalFormatting>
  <conditionalFormatting sqref="I92">
    <cfRule type="cellIs" dxfId="3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58" zoomScale="60" zoomScaleNormal="70" workbookViewId="0">
      <selection activeCell="B59" sqref="B59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251" t="s">
        <v>30</v>
      </c>
      <c r="B1" s="251"/>
      <c r="C1" s="251"/>
      <c r="D1" s="251"/>
      <c r="E1" s="251"/>
      <c r="F1" s="251"/>
      <c r="G1" s="251"/>
    </row>
    <row r="2" spans="1:7" x14ac:dyDescent="0.2">
      <c r="A2" s="251"/>
      <c r="B2" s="251"/>
      <c r="C2" s="251"/>
      <c r="D2" s="251"/>
      <c r="E2" s="251"/>
      <c r="F2" s="251"/>
      <c r="G2" s="251"/>
    </row>
    <row r="3" spans="1:7" x14ac:dyDescent="0.2">
      <c r="A3" s="251"/>
      <c r="B3" s="251"/>
      <c r="C3" s="251"/>
      <c r="D3" s="251"/>
      <c r="E3" s="251"/>
      <c r="F3" s="251"/>
      <c r="G3" s="251"/>
    </row>
    <row r="4" spans="1:7" x14ac:dyDescent="0.2">
      <c r="A4" s="251"/>
      <c r="B4" s="251"/>
      <c r="C4" s="251"/>
      <c r="D4" s="251"/>
      <c r="E4" s="251"/>
      <c r="F4" s="251"/>
      <c r="G4" s="251"/>
    </row>
    <row r="5" spans="1:7" x14ac:dyDescent="0.2">
      <c r="A5" s="251"/>
      <c r="B5" s="251"/>
      <c r="C5" s="251"/>
      <c r="D5" s="251"/>
      <c r="E5" s="251"/>
      <c r="F5" s="251"/>
      <c r="G5" s="251"/>
    </row>
    <row r="6" spans="1:7" x14ac:dyDescent="0.2">
      <c r="A6" s="251"/>
      <c r="B6" s="251"/>
      <c r="C6" s="251"/>
      <c r="D6" s="251"/>
      <c r="E6" s="251"/>
      <c r="F6" s="251"/>
      <c r="G6" s="251"/>
    </row>
    <row r="7" spans="1:7" x14ac:dyDescent="0.2">
      <c r="A7" s="251"/>
      <c r="B7" s="251"/>
      <c r="C7" s="251"/>
      <c r="D7" s="251"/>
      <c r="E7" s="251"/>
      <c r="F7" s="251"/>
      <c r="G7" s="251"/>
    </row>
    <row r="8" spans="1:7" x14ac:dyDescent="0.2">
      <c r="A8" s="252" t="s">
        <v>31</v>
      </c>
      <c r="B8" s="252"/>
      <c r="C8" s="252"/>
      <c r="D8" s="252"/>
      <c r="E8" s="252"/>
      <c r="F8" s="252"/>
      <c r="G8" s="252"/>
    </row>
    <row r="9" spans="1:7" x14ac:dyDescent="0.2">
      <c r="A9" s="252"/>
      <c r="B9" s="252"/>
      <c r="C9" s="252"/>
      <c r="D9" s="252"/>
      <c r="E9" s="252"/>
      <c r="F9" s="252"/>
      <c r="G9" s="252"/>
    </row>
    <row r="10" spans="1:7" x14ac:dyDescent="0.2">
      <c r="A10" s="252"/>
      <c r="B10" s="252"/>
      <c r="C10" s="252"/>
      <c r="D10" s="252"/>
      <c r="E10" s="252"/>
      <c r="F10" s="252"/>
      <c r="G10" s="252"/>
    </row>
    <row r="11" spans="1:7" x14ac:dyDescent="0.2">
      <c r="A11" s="252"/>
      <c r="B11" s="252"/>
      <c r="C11" s="252"/>
      <c r="D11" s="252"/>
      <c r="E11" s="252"/>
      <c r="F11" s="252"/>
      <c r="G11" s="252"/>
    </row>
    <row r="12" spans="1:7" x14ac:dyDescent="0.2">
      <c r="A12" s="252"/>
      <c r="B12" s="252"/>
      <c r="C12" s="252"/>
      <c r="D12" s="252"/>
      <c r="E12" s="252"/>
      <c r="F12" s="252"/>
      <c r="G12" s="252"/>
    </row>
    <row r="13" spans="1:7" x14ac:dyDescent="0.2">
      <c r="A13" s="252"/>
      <c r="B13" s="252"/>
      <c r="C13" s="252"/>
      <c r="D13" s="252"/>
      <c r="E13" s="252"/>
      <c r="F13" s="252"/>
      <c r="G13" s="252"/>
    </row>
    <row r="14" spans="1:7" x14ac:dyDescent="0.2">
      <c r="A14" s="252"/>
      <c r="B14" s="252"/>
      <c r="C14" s="252"/>
      <c r="D14" s="252"/>
      <c r="E14" s="252"/>
      <c r="F14" s="252"/>
      <c r="G14" s="252"/>
    </row>
    <row r="15" spans="1:7" ht="19.5" customHeight="1" x14ac:dyDescent="0.3">
      <c r="A15" s="52"/>
      <c r="B15" s="52"/>
      <c r="C15" s="52"/>
      <c r="D15" s="52"/>
      <c r="E15" s="52"/>
      <c r="F15" s="52"/>
      <c r="G15" s="52"/>
    </row>
    <row r="16" spans="1:7" ht="19.5" customHeight="1" x14ac:dyDescent="0.3">
      <c r="A16" s="237" t="s">
        <v>32</v>
      </c>
      <c r="B16" s="238"/>
      <c r="C16" s="238"/>
      <c r="D16" s="238"/>
      <c r="E16" s="238"/>
      <c r="F16" s="238"/>
      <c r="G16" s="238"/>
    </row>
    <row r="17" spans="1:7" ht="18.75" customHeight="1" x14ac:dyDescent="0.3">
      <c r="A17" s="53" t="s">
        <v>33</v>
      </c>
      <c r="B17" s="53"/>
      <c r="C17" s="52"/>
      <c r="D17" s="52"/>
      <c r="E17" s="52"/>
      <c r="F17" s="52"/>
      <c r="G17" s="52"/>
    </row>
    <row r="18" spans="1:7" ht="26.25" customHeight="1" x14ac:dyDescent="0.4">
      <c r="A18" s="54" t="s">
        <v>34</v>
      </c>
      <c r="B18" s="239" t="s">
        <v>5</v>
      </c>
      <c r="C18" s="239"/>
      <c r="D18" s="55"/>
      <c r="E18" s="55"/>
      <c r="F18" s="52"/>
      <c r="G18" s="52"/>
    </row>
    <row r="19" spans="1:7" ht="26.25" customHeight="1" x14ac:dyDescent="0.4">
      <c r="A19" s="54" t="s">
        <v>35</v>
      </c>
      <c r="B19" s="229" t="s">
        <v>7</v>
      </c>
      <c r="C19" s="52">
        <v>36</v>
      </c>
      <c r="E19" s="52"/>
      <c r="F19" s="52"/>
      <c r="G19" s="52"/>
    </row>
    <row r="20" spans="1:7" ht="26.25" customHeight="1" x14ac:dyDescent="0.4">
      <c r="A20" s="54" t="s">
        <v>36</v>
      </c>
      <c r="B20" s="240" t="s">
        <v>9</v>
      </c>
      <c r="C20" s="240"/>
      <c r="D20" s="52"/>
      <c r="E20" s="52"/>
      <c r="F20" s="52"/>
      <c r="G20" s="52"/>
    </row>
    <row r="21" spans="1:7" ht="26.25" customHeight="1" x14ac:dyDescent="0.4">
      <c r="A21" s="54" t="s">
        <v>37</v>
      </c>
      <c r="B21" s="56" t="s">
        <v>11</v>
      </c>
      <c r="C21" s="56"/>
      <c r="D21" s="57"/>
      <c r="E21" s="57"/>
      <c r="F21" s="57"/>
      <c r="G21" s="57"/>
    </row>
    <row r="22" spans="1:7" ht="26.25" customHeight="1" x14ac:dyDescent="0.4">
      <c r="A22" s="54" t="s">
        <v>38</v>
      </c>
      <c r="B22" s="58" t="s">
        <v>12</v>
      </c>
      <c r="C22" s="59"/>
      <c r="D22" s="52"/>
      <c r="E22" s="52"/>
      <c r="F22" s="52"/>
      <c r="G22" s="52"/>
    </row>
    <row r="23" spans="1:7" ht="26.25" customHeight="1" x14ac:dyDescent="0.4">
      <c r="A23" s="54" t="s">
        <v>39</v>
      </c>
      <c r="B23" s="58"/>
      <c r="C23" s="59"/>
      <c r="D23" s="52"/>
      <c r="E23" s="52"/>
      <c r="F23" s="52"/>
      <c r="G23" s="52"/>
    </row>
    <row r="24" spans="1:7" ht="18.75" customHeight="1" x14ac:dyDescent="0.3">
      <c r="A24" s="54"/>
      <c r="B24" s="60"/>
      <c r="C24" s="52"/>
      <c r="D24" s="52"/>
      <c r="E24" s="52"/>
      <c r="F24" s="52"/>
      <c r="G24" s="52"/>
    </row>
    <row r="25" spans="1:7" ht="18.75" customHeight="1" x14ac:dyDescent="0.3">
      <c r="A25" s="61" t="s">
        <v>1</v>
      </c>
      <c r="B25" s="60"/>
      <c r="C25" s="52"/>
      <c r="D25" s="52"/>
      <c r="E25" s="52"/>
      <c r="F25" s="52"/>
      <c r="G25" s="52"/>
    </row>
    <row r="26" spans="1:7" ht="26.25" customHeight="1" x14ac:dyDescent="0.4">
      <c r="A26" s="62" t="s">
        <v>4</v>
      </c>
      <c r="B26" s="239" t="s">
        <v>152</v>
      </c>
      <c r="C26" s="239"/>
      <c r="D26" s="52"/>
      <c r="E26" s="52"/>
      <c r="F26" s="52"/>
      <c r="G26" s="52"/>
    </row>
    <row r="27" spans="1:7" ht="26.25" customHeight="1" x14ac:dyDescent="0.4">
      <c r="A27" s="63" t="s">
        <v>40</v>
      </c>
      <c r="B27" s="240" t="s">
        <v>154</v>
      </c>
      <c r="C27" s="240"/>
      <c r="D27" s="52"/>
      <c r="E27" s="52"/>
      <c r="F27" s="52"/>
      <c r="G27" s="52"/>
    </row>
    <row r="28" spans="1:7" ht="27" customHeight="1" x14ac:dyDescent="0.4">
      <c r="A28" s="63" t="s">
        <v>6</v>
      </c>
      <c r="B28" s="64">
        <v>98.9</v>
      </c>
      <c r="C28" s="52"/>
      <c r="D28" s="52"/>
      <c r="E28" s="52"/>
      <c r="F28" s="52"/>
      <c r="G28" s="52"/>
    </row>
    <row r="29" spans="1:7" ht="27" customHeight="1" x14ac:dyDescent="0.4">
      <c r="A29" s="63" t="s">
        <v>41</v>
      </c>
      <c r="B29" s="65">
        <v>0.22</v>
      </c>
      <c r="C29" s="241" t="s">
        <v>42</v>
      </c>
      <c r="D29" s="242"/>
      <c r="E29" s="242"/>
      <c r="F29" s="242"/>
      <c r="G29" s="243"/>
    </row>
    <row r="30" spans="1:7" ht="19.5" customHeight="1" x14ac:dyDescent="0.3">
      <c r="A30" s="63" t="s">
        <v>43</v>
      </c>
      <c r="B30" s="67">
        <f>B28-B29</f>
        <v>98.68</v>
      </c>
      <c r="C30" s="68"/>
      <c r="D30" s="68"/>
      <c r="E30" s="68"/>
      <c r="F30" s="68"/>
      <c r="G30" s="68"/>
    </row>
    <row r="31" spans="1:7" ht="27" customHeight="1" x14ac:dyDescent="0.4">
      <c r="A31" s="63" t="s">
        <v>44</v>
      </c>
      <c r="B31" s="69">
        <v>1</v>
      </c>
      <c r="C31" s="241" t="s">
        <v>45</v>
      </c>
      <c r="D31" s="242"/>
      <c r="E31" s="242"/>
      <c r="F31" s="242"/>
      <c r="G31" s="243"/>
    </row>
    <row r="32" spans="1:7" ht="27" customHeight="1" x14ac:dyDescent="0.4">
      <c r="A32" s="63" t="s">
        <v>46</v>
      </c>
      <c r="B32" s="69">
        <v>1</v>
      </c>
      <c r="C32" s="241" t="s">
        <v>47</v>
      </c>
      <c r="D32" s="242"/>
      <c r="E32" s="242"/>
      <c r="F32" s="242"/>
      <c r="G32" s="243"/>
    </row>
    <row r="33" spans="1:7" ht="18.75" customHeight="1" x14ac:dyDescent="0.3">
      <c r="A33" s="63"/>
      <c r="B33" s="70"/>
      <c r="C33" s="71"/>
      <c r="D33" s="71"/>
      <c r="E33" s="71"/>
      <c r="F33" s="71"/>
      <c r="G33" s="71"/>
    </row>
    <row r="34" spans="1:7" ht="18.75" customHeight="1" x14ac:dyDescent="0.3">
      <c r="A34" s="63" t="s">
        <v>48</v>
      </c>
      <c r="B34" s="72">
        <f>B31/B32</f>
        <v>1</v>
      </c>
      <c r="C34" s="52" t="s">
        <v>49</v>
      </c>
      <c r="D34" s="52"/>
      <c r="E34" s="52"/>
      <c r="F34" s="52"/>
      <c r="G34" s="52"/>
    </row>
    <row r="35" spans="1:7" ht="19.5" customHeight="1" x14ac:dyDescent="0.3">
      <c r="A35" s="63"/>
      <c r="B35" s="67"/>
      <c r="C35" s="66"/>
      <c r="D35" s="66"/>
      <c r="E35" s="66"/>
      <c r="F35" s="66"/>
      <c r="G35" s="52"/>
    </row>
    <row r="36" spans="1:7" ht="27" customHeight="1" x14ac:dyDescent="0.4">
      <c r="A36" s="73" t="s">
        <v>50</v>
      </c>
      <c r="B36" s="74">
        <v>50</v>
      </c>
      <c r="C36" s="52"/>
      <c r="D36" s="244" t="s">
        <v>51</v>
      </c>
      <c r="E36" s="245"/>
      <c r="F36" s="244" t="s">
        <v>52</v>
      </c>
      <c r="G36" s="246"/>
    </row>
    <row r="37" spans="1:7" ht="26.25" customHeight="1" x14ac:dyDescent="0.4">
      <c r="A37" s="75" t="s">
        <v>53</v>
      </c>
      <c r="B37" s="76">
        <v>1</v>
      </c>
      <c r="C37" s="77" t="s">
        <v>54</v>
      </c>
      <c r="D37" s="78" t="s">
        <v>55</v>
      </c>
      <c r="E37" s="79" t="s">
        <v>56</v>
      </c>
      <c r="F37" s="78" t="s">
        <v>55</v>
      </c>
      <c r="G37" s="80" t="s">
        <v>56</v>
      </c>
    </row>
    <row r="38" spans="1:7" ht="26.25" customHeight="1" x14ac:dyDescent="0.4">
      <c r="A38" s="75" t="s">
        <v>57</v>
      </c>
      <c r="B38" s="76">
        <v>1</v>
      </c>
      <c r="C38" s="81">
        <v>1</v>
      </c>
      <c r="D38" s="82">
        <v>135818014</v>
      </c>
      <c r="E38" s="83">
        <f>IF(ISBLANK(D38),"-",$D$48/$D$45*D38)</f>
        <v>140730872.46541879</v>
      </c>
      <c r="F38" s="82">
        <v>145634460</v>
      </c>
      <c r="G38" s="84">
        <f>IF(ISBLANK(F38),"-",$D$48/$F$45*F38)</f>
        <v>144264466.91637531</v>
      </c>
    </row>
    <row r="39" spans="1:7" ht="26.25" customHeight="1" x14ac:dyDescent="0.4">
      <c r="A39" s="75" t="s">
        <v>58</v>
      </c>
      <c r="B39" s="76">
        <v>1</v>
      </c>
      <c r="C39" s="85">
        <v>2</v>
      </c>
      <c r="D39" s="86">
        <v>135540376</v>
      </c>
      <c r="E39" s="87">
        <f>IF(ISBLANK(D39),"-",$D$48/$D$45*D39)</f>
        <v>140443191.64297977</v>
      </c>
      <c r="F39" s="86">
        <v>145908018</v>
      </c>
      <c r="G39" s="88">
        <f>IF(ISBLANK(F39),"-",$D$48/$F$45*F39)</f>
        <v>144535451.53801438</v>
      </c>
    </row>
    <row r="40" spans="1:7" ht="26.25" customHeight="1" x14ac:dyDescent="0.4">
      <c r="A40" s="75" t="s">
        <v>59</v>
      </c>
      <c r="B40" s="76">
        <v>1</v>
      </c>
      <c r="C40" s="85">
        <v>3</v>
      </c>
      <c r="D40" s="86">
        <v>136161876</v>
      </c>
      <c r="E40" s="87">
        <f>IF(ISBLANK(D40),"-",$D$48/$D$45*D40)</f>
        <v>141087172.76640612</v>
      </c>
      <c r="F40" s="86">
        <v>146368982</v>
      </c>
      <c r="G40" s="88">
        <f>IF(ISBLANK(F40),"-",$D$48/$F$45*F40)</f>
        <v>144992079.21890557</v>
      </c>
    </row>
    <row r="41" spans="1:7" ht="26.25" customHeight="1" x14ac:dyDescent="0.4">
      <c r="A41" s="75" t="s">
        <v>60</v>
      </c>
      <c r="B41" s="76">
        <v>1</v>
      </c>
      <c r="C41" s="89">
        <v>4</v>
      </c>
      <c r="D41" s="90"/>
      <c r="E41" s="91" t="str">
        <f>IF(ISBLANK(D41),"-",$D$48/$D$45*D41)</f>
        <v>-</v>
      </c>
      <c r="F41" s="90"/>
      <c r="G41" s="92" t="str">
        <f>IF(ISBLANK(F41),"-",$D$48/$F$45*F41)</f>
        <v>-</v>
      </c>
    </row>
    <row r="42" spans="1:7" ht="27" customHeight="1" x14ac:dyDescent="0.4">
      <c r="A42" s="75" t="s">
        <v>61</v>
      </c>
      <c r="B42" s="76">
        <v>1</v>
      </c>
      <c r="C42" s="93" t="s">
        <v>62</v>
      </c>
      <c r="D42" s="94">
        <f>AVERAGE(D38:D41)</f>
        <v>135840088.66666666</v>
      </c>
      <c r="E42" s="95">
        <f>AVERAGE(E38:E41)</f>
        <v>140753745.62493488</v>
      </c>
      <c r="F42" s="94">
        <f>AVERAGE(F38:F41)</f>
        <v>145970486.66666666</v>
      </c>
      <c r="G42" s="96">
        <f>AVERAGE(G38:G41)</f>
        <v>144597332.5577651</v>
      </c>
    </row>
    <row r="43" spans="1:7" ht="26.25" customHeight="1" x14ac:dyDescent="0.4">
      <c r="A43" s="75" t="s">
        <v>63</v>
      </c>
      <c r="B43" s="76">
        <v>1</v>
      </c>
      <c r="C43" s="97" t="s">
        <v>64</v>
      </c>
      <c r="D43" s="98">
        <v>19.559999999999999</v>
      </c>
      <c r="E43" s="99"/>
      <c r="F43" s="98">
        <v>20.46</v>
      </c>
      <c r="G43" s="52"/>
    </row>
    <row r="44" spans="1:7" ht="26.25" customHeight="1" x14ac:dyDescent="0.4">
      <c r="A44" s="75" t="s">
        <v>65</v>
      </c>
      <c r="B44" s="76">
        <v>1</v>
      </c>
      <c r="C44" s="100" t="s">
        <v>66</v>
      </c>
      <c r="D44" s="101">
        <f>D43*$B$34</f>
        <v>19.559999999999999</v>
      </c>
      <c r="E44" s="102"/>
      <c r="F44" s="101">
        <f>F43*$B$34</f>
        <v>20.46</v>
      </c>
      <c r="G44" s="52"/>
    </row>
    <row r="45" spans="1:7" ht="19.5" customHeight="1" x14ac:dyDescent="0.3">
      <c r="A45" s="75" t="s">
        <v>67</v>
      </c>
      <c r="B45" s="103">
        <f>(B44/B43)*(B42/B41)*(B40/B39)*(B38/B37)*B36</f>
        <v>50</v>
      </c>
      <c r="C45" s="100" t="s">
        <v>68</v>
      </c>
      <c r="D45" s="104">
        <f>D44*$B$30/100</f>
        <v>19.301808000000001</v>
      </c>
      <c r="E45" s="105"/>
      <c r="F45" s="104">
        <f>F44*$B$30/100</f>
        <v>20.189928000000002</v>
      </c>
      <c r="G45" s="52"/>
    </row>
    <row r="46" spans="1:7" ht="19.5" customHeight="1" x14ac:dyDescent="0.3">
      <c r="A46" s="247" t="s">
        <v>69</v>
      </c>
      <c r="B46" s="248"/>
      <c r="C46" s="100" t="s">
        <v>70</v>
      </c>
      <c r="D46" s="101">
        <f>D45/$B$45</f>
        <v>0.38603616000000002</v>
      </c>
      <c r="E46" s="105"/>
      <c r="F46" s="106">
        <f>F45/$B$45</f>
        <v>0.40379856000000003</v>
      </c>
      <c r="G46" s="52"/>
    </row>
    <row r="47" spans="1:7" ht="27" customHeight="1" x14ac:dyDescent="0.4">
      <c r="A47" s="249"/>
      <c r="B47" s="250"/>
      <c r="C47" s="107" t="s">
        <v>71</v>
      </c>
      <c r="D47" s="108">
        <v>0.4</v>
      </c>
      <c r="E47" s="52"/>
      <c r="F47" s="109"/>
      <c r="G47" s="52"/>
    </row>
    <row r="48" spans="1:7" ht="18.75" customHeight="1" x14ac:dyDescent="0.3">
      <c r="A48" s="52"/>
      <c r="B48" s="52"/>
      <c r="C48" s="110" t="s">
        <v>72</v>
      </c>
      <c r="D48" s="104">
        <f>D47*$B$45</f>
        <v>20</v>
      </c>
      <c r="E48" s="52"/>
      <c r="F48" s="109"/>
      <c r="G48" s="52"/>
    </row>
    <row r="49" spans="1:7" ht="19.5" customHeight="1" x14ac:dyDescent="0.3">
      <c r="A49" s="52"/>
      <c r="B49" s="52"/>
      <c r="C49" s="111" t="s">
        <v>73</v>
      </c>
      <c r="D49" s="112">
        <f>D48/B34</f>
        <v>20</v>
      </c>
      <c r="E49" s="52"/>
      <c r="F49" s="109"/>
      <c r="G49" s="52"/>
    </row>
    <row r="50" spans="1:7" ht="18.75" customHeight="1" x14ac:dyDescent="0.3">
      <c r="A50" s="52"/>
      <c r="B50" s="52"/>
      <c r="C50" s="73" t="s">
        <v>74</v>
      </c>
      <c r="D50" s="113">
        <f>AVERAGE(E38:E41,G38:G41)</f>
        <v>142675539.09134999</v>
      </c>
      <c r="E50" s="52"/>
      <c r="F50" s="114"/>
      <c r="G50" s="52"/>
    </row>
    <row r="51" spans="1:7" ht="18.75" customHeight="1" x14ac:dyDescent="0.3">
      <c r="A51" s="52"/>
      <c r="B51" s="52"/>
      <c r="C51" s="75" t="s">
        <v>75</v>
      </c>
      <c r="D51" s="115">
        <f>STDEV(E38:E41,G38:G41)/D50</f>
        <v>1.4913779500667258E-2</v>
      </c>
      <c r="E51" s="52"/>
      <c r="F51" s="114"/>
      <c r="G51" s="52"/>
    </row>
    <row r="52" spans="1:7" ht="19.5" customHeight="1" x14ac:dyDescent="0.3">
      <c r="A52" s="52"/>
      <c r="B52" s="52"/>
      <c r="C52" s="116" t="s">
        <v>20</v>
      </c>
      <c r="D52" s="117">
        <f>COUNT(E38:E41,G38:G41)</f>
        <v>6</v>
      </c>
      <c r="E52" s="52"/>
      <c r="F52" s="114"/>
      <c r="G52" s="52"/>
    </row>
    <row r="53" spans="1:7" ht="18.75" customHeight="1" x14ac:dyDescent="0.3">
      <c r="A53" s="52"/>
      <c r="B53" s="52"/>
      <c r="C53" s="52"/>
      <c r="D53" s="52"/>
      <c r="E53" s="52"/>
      <c r="F53" s="52"/>
      <c r="G53" s="52"/>
    </row>
    <row r="54" spans="1:7" ht="18.75" customHeight="1" x14ac:dyDescent="0.3">
      <c r="A54" s="53" t="s">
        <v>1</v>
      </c>
      <c r="B54" s="118" t="s">
        <v>76</v>
      </c>
      <c r="C54" s="52"/>
      <c r="D54" s="52"/>
      <c r="E54" s="52"/>
      <c r="F54" s="52"/>
      <c r="G54" s="52"/>
    </row>
    <row r="55" spans="1:7" ht="18.75" customHeight="1" x14ac:dyDescent="0.3">
      <c r="A55" s="52" t="s">
        <v>77</v>
      </c>
      <c r="B55" s="119" t="str">
        <f>B21</f>
        <v>Each uncoated tablet contains Torsemide USP 10 mg</v>
      </c>
      <c r="C55" s="52"/>
      <c r="D55" s="52"/>
      <c r="E55" s="52"/>
      <c r="F55" s="52"/>
      <c r="G55" s="52"/>
    </row>
    <row r="56" spans="1:7" ht="26.25" customHeight="1" x14ac:dyDescent="0.4">
      <c r="A56" s="120" t="s">
        <v>78</v>
      </c>
      <c r="B56" s="121">
        <v>10</v>
      </c>
      <c r="C56" s="52" t="str">
        <f>B20</f>
        <v>Torsemide USP</v>
      </c>
      <c r="D56" s="52"/>
      <c r="E56" s="52"/>
      <c r="F56" s="52"/>
      <c r="G56" s="52"/>
    </row>
    <row r="57" spans="1:7" ht="17.25" customHeight="1" x14ac:dyDescent="0.3">
      <c r="A57" s="122"/>
      <c r="B57" s="122"/>
      <c r="C57" s="122"/>
      <c r="D57" s="123"/>
      <c r="E57" s="123"/>
      <c r="F57" s="123"/>
      <c r="G57" s="123"/>
    </row>
    <row r="58" spans="1:7" ht="57.75" customHeight="1" x14ac:dyDescent="0.4">
      <c r="A58" s="73" t="s">
        <v>79</v>
      </c>
      <c r="B58" s="74">
        <v>25</v>
      </c>
      <c r="C58" s="124" t="s">
        <v>80</v>
      </c>
      <c r="D58" s="125" t="s">
        <v>81</v>
      </c>
      <c r="E58" s="126" t="s">
        <v>82</v>
      </c>
      <c r="F58" s="127" t="s">
        <v>83</v>
      </c>
      <c r="G58" s="128" t="s">
        <v>84</v>
      </c>
    </row>
    <row r="59" spans="1:7" ht="26.25" customHeight="1" x14ac:dyDescent="0.4">
      <c r="A59" s="75" t="s">
        <v>53</v>
      </c>
      <c r="B59" s="76">
        <v>1</v>
      </c>
      <c r="C59" s="129">
        <v>1</v>
      </c>
      <c r="D59" s="232">
        <v>139692140</v>
      </c>
      <c r="E59" s="130">
        <f t="shared" ref="E59:E68" si="0">IF(ISBLANK(D59),"-",D59/$D$50*$D$47*$B$67)</f>
        <v>9.7908962454005657</v>
      </c>
      <c r="F59" s="131">
        <f t="shared" ref="F59:F68" si="1">IF(ISBLANK(D59),"-",E59/$E$70*100)</f>
        <v>100.3869593181752</v>
      </c>
      <c r="G59" s="132">
        <f t="shared" ref="G59:G68" si="2">IF(ISBLANK(D59),"-",E59/$B$56*100)</f>
        <v>97.90896245400566</v>
      </c>
    </row>
    <row r="60" spans="1:7" ht="26.25" customHeight="1" x14ac:dyDescent="0.4">
      <c r="A60" s="75" t="s">
        <v>57</v>
      </c>
      <c r="B60" s="76">
        <v>1</v>
      </c>
      <c r="C60" s="133">
        <v>2</v>
      </c>
      <c r="D60" s="233">
        <v>139208416</v>
      </c>
      <c r="E60" s="134">
        <f t="shared" si="0"/>
        <v>9.7569924660224956</v>
      </c>
      <c r="F60" s="135">
        <f t="shared" si="1"/>
        <v>100.03934075130931</v>
      </c>
      <c r="G60" s="136">
        <f t="shared" si="2"/>
        <v>97.569924660224956</v>
      </c>
    </row>
    <row r="61" spans="1:7" ht="26.25" customHeight="1" x14ac:dyDescent="0.4">
      <c r="A61" s="75" t="s">
        <v>58</v>
      </c>
      <c r="B61" s="76">
        <v>1</v>
      </c>
      <c r="C61" s="133">
        <v>3</v>
      </c>
      <c r="D61" s="233">
        <v>139605419</v>
      </c>
      <c r="E61" s="134">
        <f t="shared" si="0"/>
        <v>9.7848180486366143</v>
      </c>
      <c r="F61" s="135">
        <f t="shared" si="1"/>
        <v>100.32463900796283</v>
      </c>
      <c r="G61" s="136">
        <f t="shared" si="2"/>
        <v>97.848180486366147</v>
      </c>
    </row>
    <row r="62" spans="1:7" ht="26.25" customHeight="1" x14ac:dyDescent="0.4">
      <c r="A62" s="75" t="s">
        <v>59</v>
      </c>
      <c r="B62" s="76">
        <v>1</v>
      </c>
      <c r="C62" s="133">
        <v>4</v>
      </c>
      <c r="D62" s="233">
        <v>138870664</v>
      </c>
      <c r="E62" s="134">
        <f t="shared" si="0"/>
        <v>9.7333197326197691</v>
      </c>
      <c r="F62" s="135">
        <f t="shared" si="1"/>
        <v>99.796622039407339</v>
      </c>
      <c r="G62" s="136">
        <f t="shared" si="2"/>
        <v>97.333197326197691</v>
      </c>
    </row>
    <row r="63" spans="1:7" ht="26.25" customHeight="1" x14ac:dyDescent="0.4">
      <c r="A63" s="75" t="s">
        <v>60</v>
      </c>
      <c r="B63" s="76">
        <v>1</v>
      </c>
      <c r="C63" s="133">
        <v>5</v>
      </c>
      <c r="D63" s="233">
        <v>140636616</v>
      </c>
      <c r="E63" s="134">
        <f t="shared" si="0"/>
        <v>9.8570937173719351</v>
      </c>
      <c r="F63" s="135">
        <f t="shared" si="1"/>
        <v>101.06568808408136</v>
      </c>
      <c r="G63" s="136">
        <f t="shared" si="2"/>
        <v>98.570937173719358</v>
      </c>
    </row>
    <row r="64" spans="1:7" ht="26.25" customHeight="1" x14ac:dyDescent="0.4">
      <c r="A64" s="75" t="s">
        <v>61</v>
      </c>
      <c r="B64" s="76">
        <v>1</v>
      </c>
      <c r="C64" s="133">
        <v>6</v>
      </c>
      <c r="D64" s="233">
        <v>138317837</v>
      </c>
      <c r="E64" s="134">
        <f t="shared" si="0"/>
        <v>9.6945725862258776</v>
      </c>
      <c r="F64" s="135">
        <f t="shared" si="1"/>
        <v>99.399343985259208</v>
      </c>
      <c r="G64" s="136">
        <f t="shared" si="2"/>
        <v>96.945725862258783</v>
      </c>
    </row>
    <row r="65" spans="1:7" ht="26.25" customHeight="1" x14ac:dyDescent="0.4">
      <c r="A65" s="75" t="s">
        <v>63</v>
      </c>
      <c r="B65" s="76">
        <v>1</v>
      </c>
      <c r="C65" s="133">
        <v>7</v>
      </c>
      <c r="D65" s="233">
        <v>137530946</v>
      </c>
      <c r="E65" s="134">
        <f t="shared" si="0"/>
        <v>9.6394201049378143</v>
      </c>
      <c r="F65" s="135">
        <f t="shared" si="1"/>
        <v>98.833860524236727</v>
      </c>
      <c r="G65" s="136">
        <f t="shared" si="2"/>
        <v>96.394201049378154</v>
      </c>
    </row>
    <row r="66" spans="1:7" ht="26.25" customHeight="1" x14ac:dyDescent="0.4">
      <c r="A66" s="75" t="s">
        <v>65</v>
      </c>
      <c r="B66" s="76">
        <v>1</v>
      </c>
      <c r="C66" s="133">
        <v>8</v>
      </c>
      <c r="D66" s="233">
        <v>139695563</v>
      </c>
      <c r="E66" s="134">
        <f t="shared" si="0"/>
        <v>9.7911361603868201</v>
      </c>
      <c r="F66" s="135">
        <f t="shared" si="1"/>
        <v>100.38941918858558</v>
      </c>
      <c r="G66" s="136">
        <f t="shared" si="2"/>
        <v>97.911361603868201</v>
      </c>
    </row>
    <row r="67" spans="1:7" ht="27" customHeight="1" x14ac:dyDescent="0.4">
      <c r="A67" s="75" t="s">
        <v>67</v>
      </c>
      <c r="B67" s="103">
        <f>(B66/B65)*(B64/B63)*(B62/B61)*(B60/B59)*B58</f>
        <v>25</v>
      </c>
      <c r="C67" s="133">
        <v>9</v>
      </c>
      <c r="D67" s="233">
        <v>138858339</v>
      </c>
      <c r="E67" s="134">
        <f t="shared" si="0"/>
        <v>9.7324558844732341</v>
      </c>
      <c r="F67" s="135">
        <f t="shared" si="1"/>
        <v>99.787764924944099</v>
      </c>
      <c r="G67" s="136">
        <f t="shared" si="2"/>
        <v>97.324558844732351</v>
      </c>
    </row>
    <row r="68" spans="1:7" ht="27" customHeight="1" x14ac:dyDescent="0.4">
      <c r="A68" s="247" t="s">
        <v>69</v>
      </c>
      <c r="B68" s="255"/>
      <c r="C68" s="137">
        <v>10</v>
      </c>
      <c r="D68" s="234">
        <v>139120779</v>
      </c>
      <c r="E68" s="138">
        <f t="shared" si="0"/>
        <v>9.7508500676437606</v>
      </c>
      <c r="F68" s="139">
        <f t="shared" si="1"/>
        <v>99.976362176038265</v>
      </c>
      <c r="G68" s="140">
        <f t="shared" si="2"/>
        <v>97.508500676437606</v>
      </c>
    </row>
    <row r="69" spans="1:7" ht="19.5" customHeight="1" x14ac:dyDescent="0.3">
      <c r="A69" s="249"/>
      <c r="B69" s="256"/>
      <c r="C69" s="133"/>
      <c r="D69" s="105"/>
      <c r="E69" s="141"/>
      <c r="F69" s="123"/>
      <c r="G69" s="142"/>
    </row>
    <row r="70" spans="1:7" ht="26.25" customHeight="1" x14ac:dyDescent="0.4">
      <c r="A70" s="123"/>
      <c r="B70" s="123"/>
      <c r="C70" s="143" t="s">
        <v>85</v>
      </c>
      <c r="D70" s="144"/>
      <c r="E70" s="145">
        <f>AVERAGE(E59:E68)</f>
        <v>9.7531555013718894</v>
      </c>
      <c r="F70" s="145">
        <f>AVERAGE(F59:F68)</f>
        <v>99.999999999999986</v>
      </c>
      <c r="G70" s="146">
        <f>AVERAGE(G59:G68)</f>
        <v>97.531555013718886</v>
      </c>
    </row>
    <row r="71" spans="1:7" ht="26.25" customHeight="1" x14ac:dyDescent="0.4">
      <c r="A71" s="123"/>
      <c r="B71" s="123"/>
      <c r="C71" s="143"/>
      <c r="D71" s="144"/>
      <c r="E71" s="147">
        <f>STDEV(E59:E68)/E70</f>
        <v>6.1025022961961189E-3</v>
      </c>
      <c r="F71" s="147">
        <f>STDEV(F59:F68)/F70</f>
        <v>6.1025022961961441E-3</v>
      </c>
      <c r="G71" s="148">
        <f>STDEV(G59:G68)/G70</f>
        <v>6.1025022961961033E-3</v>
      </c>
    </row>
    <row r="72" spans="1:7" ht="27" customHeight="1" x14ac:dyDescent="0.4">
      <c r="A72" s="123"/>
      <c r="B72" s="123"/>
      <c r="C72" s="149"/>
      <c r="D72" s="150"/>
      <c r="E72" s="151">
        <f>COUNT(E59:E68)</f>
        <v>10</v>
      </c>
      <c r="F72" s="151">
        <f>COUNT(F59:F68)</f>
        <v>10</v>
      </c>
      <c r="G72" s="152">
        <f>COUNT(G59:G68)</f>
        <v>10</v>
      </c>
    </row>
    <row r="73" spans="1:7" ht="18.75" customHeight="1" x14ac:dyDescent="0.3">
      <c r="A73" s="123"/>
      <c r="B73" s="153"/>
      <c r="C73" s="153"/>
      <c r="D73" s="102"/>
      <c r="E73" s="144"/>
      <c r="F73" s="99"/>
      <c r="G73" s="154"/>
    </row>
    <row r="74" spans="1:7" ht="18.75" customHeight="1" x14ac:dyDescent="0.3">
      <c r="A74" s="62" t="s">
        <v>86</v>
      </c>
      <c r="B74" s="155" t="s">
        <v>87</v>
      </c>
      <c r="C74" s="254" t="str">
        <f>B20</f>
        <v>Torsemide USP</v>
      </c>
      <c r="D74" s="254"/>
      <c r="E74" s="156" t="s">
        <v>88</v>
      </c>
      <c r="F74" s="156"/>
      <c r="G74" s="157">
        <f>G70</f>
        <v>97.531555013718886</v>
      </c>
    </row>
    <row r="75" spans="1:7" ht="18.75" customHeight="1" x14ac:dyDescent="0.3">
      <c r="A75" s="62"/>
      <c r="B75" s="155"/>
      <c r="C75" s="158"/>
      <c r="D75" s="158"/>
      <c r="E75" s="156"/>
      <c r="F75" s="156"/>
      <c r="G75" s="159"/>
    </row>
    <row r="76" spans="1:7" ht="18.75" customHeight="1" x14ac:dyDescent="0.3">
      <c r="A76" s="53" t="s">
        <v>1</v>
      </c>
      <c r="B76" s="160" t="s">
        <v>89</v>
      </c>
      <c r="C76" s="52"/>
      <c r="D76" s="52"/>
      <c r="E76" s="52"/>
      <c r="F76" s="52"/>
      <c r="G76" s="123"/>
    </row>
    <row r="77" spans="1:7" ht="18.75" customHeight="1" x14ac:dyDescent="0.3">
      <c r="A77" s="53"/>
      <c r="B77" s="118"/>
      <c r="C77" s="52"/>
      <c r="D77" s="52"/>
      <c r="E77" s="52"/>
      <c r="F77" s="52"/>
      <c r="G77" s="123"/>
    </row>
    <row r="78" spans="1:7" ht="18.75" customHeight="1" x14ac:dyDescent="0.3">
      <c r="A78" s="123"/>
      <c r="B78" s="257" t="s">
        <v>90</v>
      </c>
      <c r="C78" s="258"/>
      <c r="D78" s="52"/>
      <c r="E78" s="123"/>
      <c r="F78" s="123"/>
      <c r="G78" s="123"/>
    </row>
    <row r="79" spans="1:7" ht="18.75" customHeight="1" x14ac:dyDescent="0.3">
      <c r="A79" s="123"/>
      <c r="B79" s="161" t="s">
        <v>91</v>
      </c>
      <c r="C79" s="162">
        <f>G70</f>
        <v>97.531555013718886</v>
      </c>
      <c r="D79" s="52"/>
      <c r="E79" s="123"/>
      <c r="F79" s="123"/>
      <c r="G79" s="123"/>
    </row>
    <row r="80" spans="1:7" ht="26.25" customHeight="1" x14ac:dyDescent="0.4">
      <c r="A80" s="123"/>
      <c r="B80" s="161" t="s">
        <v>92</v>
      </c>
      <c r="C80" s="163">
        <v>2.4</v>
      </c>
      <c r="D80" s="52"/>
      <c r="E80" s="123"/>
      <c r="F80" s="123"/>
      <c r="G80" s="123"/>
    </row>
    <row r="81" spans="1:7" ht="18.75" customHeight="1" x14ac:dyDescent="0.3">
      <c r="A81" s="123"/>
      <c r="B81" s="161" t="s">
        <v>93</v>
      </c>
      <c r="C81" s="162">
        <f>STDEV(G59:G68)</f>
        <v>0.59518653842279612</v>
      </c>
      <c r="D81" s="52"/>
      <c r="E81" s="123"/>
      <c r="F81" s="123"/>
      <c r="G81" s="123"/>
    </row>
    <row r="82" spans="1:7" ht="18.75" customHeight="1" x14ac:dyDescent="0.3">
      <c r="A82" s="123"/>
      <c r="B82" s="161" t="s">
        <v>94</v>
      </c>
      <c r="C82" s="162">
        <f>IF(OR(G70&lt;98.5,G70&gt;101.5),(IF(98.5&gt;G70,98.5,101.5)),C79)</f>
        <v>98.5</v>
      </c>
      <c r="D82" s="52"/>
      <c r="E82" s="123"/>
      <c r="F82" s="123"/>
      <c r="G82" s="123"/>
    </row>
    <row r="83" spans="1:7" ht="18.75" customHeight="1" x14ac:dyDescent="0.3">
      <c r="A83" s="123"/>
      <c r="B83" s="161" t="s">
        <v>95</v>
      </c>
      <c r="C83" s="164">
        <f>ABS(C82-C79)+(C80*C81)</f>
        <v>2.3968926784958242</v>
      </c>
      <c r="D83" s="52"/>
      <c r="E83" s="123"/>
      <c r="F83" s="123"/>
      <c r="G83" s="123"/>
    </row>
    <row r="84" spans="1:7" ht="18.75" customHeight="1" x14ac:dyDescent="0.3">
      <c r="A84" s="120"/>
      <c r="B84" s="165"/>
      <c r="C84" s="52"/>
      <c r="D84" s="52"/>
      <c r="E84" s="52"/>
      <c r="F84" s="52"/>
      <c r="G84" s="52"/>
    </row>
    <row r="85" spans="1:7" ht="18.75" customHeight="1" x14ac:dyDescent="0.3">
      <c r="A85" s="61" t="s">
        <v>96</v>
      </c>
      <c r="B85" s="61" t="s">
        <v>97</v>
      </c>
      <c r="C85" s="52"/>
      <c r="D85" s="52"/>
      <c r="E85" s="52"/>
      <c r="F85" s="52"/>
      <c r="G85" s="52"/>
    </row>
    <row r="86" spans="1:7" ht="18.75" customHeight="1" x14ac:dyDescent="0.3">
      <c r="A86" s="61"/>
      <c r="B86" s="61"/>
      <c r="C86" s="52"/>
      <c r="D86" s="52"/>
      <c r="E86" s="52"/>
      <c r="F86" s="52"/>
      <c r="G86" s="52"/>
    </row>
    <row r="87" spans="1:7" ht="26.25" customHeight="1" x14ac:dyDescent="0.4">
      <c r="A87" s="62" t="s">
        <v>4</v>
      </c>
      <c r="B87" s="239"/>
      <c r="C87" s="239"/>
      <c r="D87" s="52"/>
      <c r="E87" s="52"/>
      <c r="F87" s="52"/>
      <c r="G87" s="52"/>
    </row>
    <row r="88" spans="1:7" ht="26.25" customHeight="1" x14ac:dyDescent="0.4">
      <c r="A88" s="63" t="s">
        <v>40</v>
      </c>
      <c r="B88" s="240"/>
      <c r="C88" s="240"/>
      <c r="D88" s="52"/>
      <c r="E88" s="52"/>
      <c r="F88" s="52"/>
      <c r="G88" s="52"/>
    </row>
    <row r="89" spans="1:7" ht="27" customHeight="1" x14ac:dyDescent="0.4">
      <c r="A89" s="63" t="s">
        <v>6</v>
      </c>
      <c r="B89" s="64">
        <f>B32</f>
        <v>1</v>
      </c>
      <c r="C89" s="52"/>
      <c r="D89" s="52"/>
      <c r="E89" s="52"/>
      <c r="F89" s="52"/>
      <c r="G89" s="52"/>
    </row>
    <row r="90" spans="1:7" ht="27" customHeight="1" x14ac:dyDescent="0.4">
      <c r="A90" s="63" t="s">
        <v>41</v>
      </c>
      <c r="B90" s="64">
        <f>B33</f>
        <v>0</v>
      </c>
      <c r="C90" s="259" t="s">
        <v>98</v>
      </c>
      <c r="D90" s="260"/>
      <c r="E90" s="260"/>
      <c r="F90" s="260"/>
      <c r="G90" s="261"/>
    </row>
    <row r="91" spans="1:7" ht="18.75" customHeight="1" x14ac:dyDescent="0.3">
      <c r="A91" s="63" t="s">
        <v>43</v>
      </c>
      <c r="B91" s="67">
        <f>B89-B90</f>
        <v>1</v>
      </c>
      <c r="C91" s="166"/>
      <c r="D91" s="166"/>
      <c r="E91" s="166"/>
      <c r="F91" s="166"/>
      <c r="G91" s="167"/>
    </row>
    <row r="92" spans="1:7" ht="19.5" customHeight="1" x14ac:dyDescent="0.3">
      <c r="A92" s="63"/>
      <c r="B92" s="67"/>
      <c r="C92" s="166"/>
      <c r="D92" s="166"/>
      <c r="E92" s="166"/>
      <c r="F92" s="166"/>
      <c r="G92" s="167"/>
    </row>
    <row r="93" spans="1:7" ht="27" customHeight="1" x14ac:dyDescent="0.4">
      <c r="A93" s="63" t="s">
        <v>44</v>
      </c>
      <c r="B93" s="69">
        <v>1</v>
      </c>
      <c r="C93" s="241" t="s">
        <v>99</v>
      </c>
      <c r="D93" s="242"/>
      <c r="E93" s="242"/>
      <c r="F93" s="242"/>
      <c r="G93" s="242"/>
    </row>
    <row r="94" spans="1:7" ht="27" customHeight="1" x14ac:dyDescent="0.4">
      <c r="A94" s="63" t="s">
        <v>46</v>
      </c>
      <c r="B94" s="69">
        <v>1</v>
      </c>
      <c r="C94" s="241" t="s">
        <v>100</v>
      </c>
      <c r="D94" s="242"/>
      <c r="E94" s="242"/>
      <c r="F94" s="242"/>
      <c r="G94" s="242"/>
    </row>
    <row r="95" spans="1:7" ht="18.75" customHeight="1" x14ac:dyDescent="0.3">
      <c r="A95" s="63"/>
      <c r="B95" s="70"/>
      <c r="C95" s="71"/>
      <c r="D95" s="71"/>
      <c r="E95" s="71"/>
      <c r="F95" s="71"/>
      <c r="G95" s="71"/>
    </row>
    <row r="96" spans="1:7" ht="18.75" customHeight="1" x14ac:dyDescent="0.3">
      <c r="A96" s="63" t="s">
        <v>48</v>
      </c>
      <c r="B96" s="72">
        <f>B93/B94</f>
        <v>1</v>
      </c>
      <c r="C96" s="52" t="s">
        <v>49</v>
      </c>
      <c r="D96" s="52"/>
      <c r="E96" s="52"/>
      <c r="F96" s="52"/>
      <c r="G96" s="52"/>
    </row>
    <row r="97" spans="1:7" ht="19.5" customHeight="1" x14ac:dyDescent="0.3">
      <c r="A97" s="61"/>
      <c r="B97" s="61"/>
      <c r="C97" s="52"/>
      <c r="D97" s="52"/>
      <c r="E97" s="52"/>
      <c r="F97" s="52"/>
      <c r="G97" s="52"/>
    </row>
    <row r="98" spans="1:7" ht="27" customHeight="1" x14ac:dyDescent="0.4">
      <c r="A98" s="73" t="s">
        <v>50</v>
      </c>
      <c r="B98" s="168">
        <v>1</v>
      </c>
      <c r="C98" s="52"/>
      <c r="D98" s="169" t="s">
        <v>51</v>
      </c>
      <c r="E98" s="170"/>
      <c r="F98" s="244" t="s">
        <v>52</v>
      </c>
      <c r="G98" s="246"/>
    </row>
    <row r="99" spans="1:7" ht="26.25" customHeight="1" x14ac:dyDescent="0.4">
      <c r="A99" s="75" t="s">
        <v>53</v>
      </c>
      <c r="B99" s="171">
        <v>1</v>
      </c>
      <c r="C99" s="77" t="s">
        <v>54</v>
      </c>
      <c r="D99" s="78" t="s">
        <v>55</v>
      </c>
      <c r="E99" s="79" t="s">
        <v>56</v>
      </c>
      <c r="F99" s="78" t="s">
        <v>55</v>
      </c>
      <c r="G99" s="80" t="s">
        <v>56</v>
      </c>
    </row>
    <row r="100" spans="1:7" ht="26.25" customHeight="1" x14ac:dyDescent="0.4">
      <c r="A100" s="75" t="s">
        <v>57</v>
      </c>
      <c r="B100" s="171">
        <v>1</v>
      </c>
      <c r="C100" s="81">
        <v>1</v>
      </c>
      <c r="D100" s="82"/>
      <c r="E100" s="172" t="str">
        <f>IF(ISBLANK(D100),"-",$D$110/$D$107*D100)</f>
        <v>-</v>
      </c>
      <c r="F100" s="173"/>
      <c r="G100" s="84" t="str">
        <f>IF(ISBLANK(F100),"-",$D$110/$F$107*F100)</f>
        <v>-</v>
      </c>
    </row>
    <row r="101" spans="1:7" ht="26.25" customHeight="1" x14ac:dyDescent="0.4">
      <c r="A101" s="75" t="s">
        <v>58</v>
      </c>
      <c r="B101" s="171">
        <v>1</v>
      </c>
      <c r="C101" s="85">
        <v>2</v>
      </c>
      <c r="D101" s="86"/>
      <c r="E101" s="174" t="str">
        <f>IF(ISBLANK(D101),"-",$D$110/$D$107*D101)</f>
        <v>-</v>
      </c>
      <c r="F101" s="64"/>
      <c r="G101" s="88" t="str">
        <f>IF(ISBLANK(F101),"-",$D$110/$F$107*F101)</f>
        <v>-</v>
      </c>
    </row>
    <row r="102" spans="1:7" ht="26.25" customHeight="1" x14ac:dyDescent="0.4">
      <c r="A102" s="75" t="s">
        <v>59</v>
      </c>
      <c r="B102" s="171">
        <v>1</v>
      </c>
      <c r="C102" s="85">
        <v>3</v>
      </c>
      <c r="D102" s="86"/>
      <c r="E102" s="174" t="str">
        <f>IF(ISBLANK(D102),"-",$D$110/$D$107*D102)</f>
        <v>-</v>
      </c>
      <c r="F102" s="175"/>
      <c r="G102" s="88" t="str">
        <f>IF(ISBLANK(F102),"-",$D$110/$F$107*F102)</f>
        <v>-</v>
      </c>
    </row>
    <row r="103" spans="1:7" ht="26.25" customHeight="1" x14ac:dyDescent="0.4">
      <c r="A103" s="75" t="s">
        <v>60</v>
      </c>
      <c r="B103" s="171">
        <v>1</v>
      </c>
      <c r="C103" s="89">
        <v>4</v>
      </c>
      <c r="D103" s="90"/>
      <c r="E103" s="176" t="str">
        <f>IF(ISBLANK(D103),"-",$D$110/$D$107*D103)</f>
        <v>-</v>
      </c>
      <c r="F103" s="177"/>
      <c r="G103" s="92" t="str">
        <f>IF(ISBLANK(F103),"-",$D$110/$F$107*F103)</f>
        <v>-</v>
      </c>
    </row>
    <row r="104" spans="1:7" ht="27" customHeight="1" x14ac:dyDescent="0.4">
      <c r="A104" s="75" t="s">
        <v>61</v>
      </c>
      <c r="B104" s="171">
        <v>1</v>
      </c>
      <c r="C104" s="93" t="s">
        <v>62</v>
      </c>
      <c r="D104" s="178" t="e">
        <f>AVERAGE(D100:D103)</f>
        <v>#DIV/0!</v>
      </c>
      <c r="E104" s="95" t="e">
        <f>AVERAGE(E100:E103)</f>
        <v>#DIV/0!</v>
      </c>
      <c r="F104" s="178" t="e">
        <f>AVERAGE(F100:F103)</f>
        <v>#DIV/0!</v>
      </c>
      <c r="G104" s="179" t="e">
        <f>AVERAGE(G100:G103)</f>
        <v>#DIV/0!</v>
      </c>
    </row>
    <row r="105" spans="1:7" ht="26.25" customHeight="1" x14ac:dyDescent="0.4">
      <c r="A105" s="75" t="s">
        <v>63</v>
      </c>
      <c r="B105" s="171">
        <v>1</v>
      </c>
      <c r="C105" s="97" t="s">
        <v>64</v>
      </c>
      <c r="D105" s="180"/>
      <c r="E105" s="99"/>
      <c r="F105" s="98"/>
      <c r="G105" s="52"/>
    </row>
    <row r="106" spans="1:7" ht="26.25" customHeight="1" x14ac:dyDescent="0.4">
      <c r="A106" s="75" t="s">
        <v>65</v>
      </c>
      <c r="B106" s="171">
        <v>1</v>
      </c>
      <c r="C106" s="100" t="s">
        <v>66</v>
      </c>
      <c r="D106" s="181">
        <f>D105*$B$96</f>
        <v>0</v>
      </c>
      <c r="E106" s="102"/>
      <c r="F106" s="101">
        <f>F105*$B$96</f>
        <v>0</v>
      </c>
      <c r="G106" s="52"/>
    </row>
    <row r="107" spans="1:7" ht="19.5" customHeight="1" x14ac:dyDescent="0.3">
      <c r="A107" s="75" t="s">
        <v>67</v>
      </c>
      <c r="B107" s="213">
        <f>(B106/B105)*(B104/B103)*(B102/B101)*(B100/B99)*B98</f>
        <v>1</v>
      </c>
      <c r="C107" s="100" t="s">
        <v>68</v>
      </c>
      <c r="D107" s="182">
        <f>D106*$B$91/100</f>
        <v>0</v>
      </c>
      <c r="E107" s="105"/>
      <c r="F107" s="104">
        <f>F106*$B$91/100</f>
        <v>0</v>
      </c>
      <c r="G107" s="52"/>
    </row>
    <row r="108" spans="1:7" ht="19.5" customHeight="1" x14ac:dyDescent="0.3">
      <c r="A108" s="247" t="s">
        <v>69</v>
      </c>
      <c r="B108" s="248"/>
      <c r="C108" s="100" t="s">
        <v>70</v>
      </c>
      <c r="D108" s="181">
        <f>D107/$B$107</f>
        <v>0</v>
      </c>
      <c r="E108" s="105"/>
      <c r="F108" s="106">
        <f>F107/$B$107</f>
        <v>0</v>
      </c>
      <c r="G108" s="183"/>
    </row>
    <row r="109" spans="1:7" ht="19.5" customHeight="1" x14ac:dyDescent="0.3">
      <c r="A109" s="249"/>
      <c r="B109" s="250"/>
      <c r="C109" s="231" t="s">
        <v>71</v>
      </c>
      <c r="D109" s="185">
        <f>$B$56/$B$125</f>
        <v>10</v>
      </c>
      <c r="E109" s="52"/>
      <c r="F109" s="109"/>
      <c r="G109" s="186"/>
    </row>
    <row r="110" spans="1:7" ht="18.75" customHeight="1" x14ac:dyDescent="0.3">
      <c r="A110" s="52"/>
      <c r="B110" s="52"/>
      <c r="C110" s="184" t="s">
        <v>72</v>
      </c>
      <c r="D110" s="181">
        <f>D109*$B$107</f>
        <v>10</v>
      </c>
      <c r="E110" s="52"/>
      <c r="F110" s="109"/>
      <c r="G110" s="183"/>
    </row>
    <row r="111" spans="1:7" ht="19.5" customHeight="1" x14ac:dyDescent="0.3">
      <c r="A111" s="52"/>
      <c r="B111" s="52"/>
      <c r="C111" s="187" t="s">
        <v>73</v>
      </c>
      <c r="D111" s="188">
        <f>D110/B96</f>
        <v>10</v>
      </c>
      <c r="E111" s="52"/>
      <c r="F111" s="114"/>
      <c r="G111" s="183"/>
    </row>
    <row r="112" spans="1:7" ht="18.75" customHeight="1" x14ac:dyDescent="0.3">
      <c r="A112" s="52"/>
      <c r="B112" s="52"/>
      <c r="C112" s="189" t="s">
        <v>74</v>
      </c>
      <c r="D112" s="190" t="e">
        <f>AVERAGE(E100:E103,G100:G103)</f>
        <v>#DIV/0!</v>
      </c>
      <c r="E112" s="52"/>
      <c r="F112" s="114"/>
      <c r="G112" s="191"/>
    </row>
    <row r="113" spans="1:7" ht="18.75" customHeight="1" x14ac:dyDescent="0.3">
      <c r="A113" s="52"/>
      <c r="B113" s="52"/>
      <c r="C113" s="192" t="s">
        <v>75</v>
      </c>
      <c r="D113" s="193" t="e">
        <f>STDEV(E100:E103,G100:G103)/D112</f>
        <v>#DIV/0!</v>
      </c>
      <c r="E113" s="52"/>
      <c r="F113" s="114"/>
      <c r="G113" s="183"/>
    </row>
    <row r="114" spans="1:7" ht="19.5" customHeight="1" x14ac:dyDescent="0.3">
      <c r="A114" s="52"/>
      <c r="B114" s="52"/>
      <c r="C114" s="194" t="s">
        <v>20</v>
      </c>
      <c r="D114" s="195">
        <f>COUNT(E100:E103,G100:G103)</f>
        <v>0</v>
      </c>
      <c r="E114" s="52"/>
      <c r="F114" s="114"/>
      <c r="G114" s="183"/>
    </row>
    <row r="115" spans="1:7" ht="19.5" customHeight="1" x14ac:dyDescent="0.3">
      <c r="A115" s="53"/>
      <c r="B115" s="53"/>
      <c r="C115" s="53"/>
      <c r="D115" s="53"/>
      <c r="E115" s="53"/>
      <c r="F115" s="52"/>
      <c r="G115" s="52"/>
    </row>
    <row r="116" spans="1:7" ht="26.25" customHeight="1" x14ac:dyDescent="0.4">
      <c r="A116" s="73" t="s">
        <v>101</v>
      </c>
      <c r="B116" s="168">
        <v>1</v>
      </c>
      <c r="C116" s="196" t="s">
        <v>102</v>
      </c>
      <c r="D116" s="197" t="s">
        <v>55</v>
      </c>
      <c r="E116" s="198" t="s">
        <v>103</v>
      </c>
      <c r="F116" s="199" t="s">
        <v>104</v>
      </c>
      <c r="G116" s="52"/>
    </row>
    <row r="117" spans="1:7" ht="26.25" customHeight="1" x14ac:dyDescent="0.4">
      <c r="A117" s="75" t="s">
        <v>105</v>
      </c>
      <c r="B117" s="171">
        <v>1</v>
      </c>
      <c r="C117" s="133">
        <v>1</v>
      </c>
      <c r="D117" s="200"/>
      <c r="E117" s="201" t="str">
        <f t="shared" ref="E117:E122" si="3">IF(ISBLANK(D117),"-",D117/$D$112*$D$109*$B$125)</f>
        <v>-</v>
      </c>
      <c r="F117" s="202" t="str">
        <f t="shared" ref="F117:F122" si="4">IF(ISBLANK(D117), "-", E117/$B$56)</f>
        <v>-</v>
      </c>
      <c r="G117" s="52"/>
    </row>
    <row r="118" spans="1:7" ht="26.25" customHeight="1" x14ac:dyDescent="0.4">
      <c r="A118" s="75" t="s">
        <v>106</v>
      </c>
      <c r="B118" s="171">
        <v>1</v>
      </c>
      <c r="C118" s="133">
        <v>2</v>
      </c>
      <c r="D118" s="200"/>
      <c r="E118" s="203" t="str">
        <f t="shared" si="3"/>
        <v>-</v>
      </c>
      <c r="F118" s="204" t="str">
        <f t="shared" si="4"/>
        <v>-</v>
      </c>
      <c r="G118" s="52"/>
    </row>
    <row r="119" spans="1:7" ht="26.25" customHeight="1" x14ac:dyDescent="0.4">
      <c r="A119" s="75" t="s">
        <v>107</v>
      </c>
      <c r="B119" s="171">
        <v>1</v>
      </c>
      <c r="C119" s="133">
        <v>3</v>
      </c>
      <c r="D119" s="200"/>
      <c r="E119" s="203" t="str">
        <f t="shared" si="3"/>
        <v>-</v>
      </c>
      <c r="F119" s="204" t="str">
        <f t="shared" si="4"/>
        <v>-</v>
      </c>
      <c r="G119" s="52"/>
    </row>
    <row r="120" spans="1:7" ht="26.25" customHeight="1" x14ac:dyDescent="0.4">
      <c r="A120" s="75" t="s">
        <v>108</v>
      </c>
      <c r="B120" s="171">
        <v>1</v>
      </c>
      <c r="C120" s="133">
        <v>4</v>
      </c>
      <c r="D120" s="200"/>
      <c r="E120" s="203" t="str">
        <f t="shared" si="3"/>
        <v>-</v>
      </c>
      <c r="F120" s="204" t="str">
        <f t="shared" si="4"/>
        <v>-</v>
      </c>
      <c r="G120" s="52"/>
    </row>
    <row r="121" spans="1:7" ht="26.25" customHeight="1" x14ac:dyDescent="0.4">
      <c r="A121" s="75" t="s">
        <v>109</v>
      </c>
      <c r="B121" s="171">
        <v>1</v>
      </c>
      <c r="C121" s="133">
        <v>5</v>
      </c>
      <c r="D121" s="200"/>
      <c r="E121" s="203" t="str">
        <f t="shared" si="3"/>
        <v>-</v>
      </c>
      <c r="F121" s="204" t="str">
        <f t="shared" si="4"/>
        <v>-</v>
      </c>
      <c r="G121" s="52"/>
    </row>
    <row r="122" spans="1:7" ht="26.25" customHeight="1" x14ac:dyDescent="0.4">
      <c r="A122" s="75" t="s">
        <v>110</v>
      </c>
      <c r="B122" s="171">
        <v>1</v>
      </c>
      <c r="C122" s="205">
        <v>6</v>
      </c>
      <c r="D122" s="206"/>
      <c r="E122" s="207" t="str">
        <f t="shared" si="3"/>
        <v>-</v>
      </c>
      <c r="F122" s="208" t="str">
        <f t="shared" si="4"/>
        <v>-</v>
      </c>
      <c r="G122" s="52"/>
    </row>
    <row r="123" spans="1:7" ht="26.25" customHeight="1" x14ac:dyDescent="0.4">
      <c r="A123" s="75" t="s">
        <v>111</v>
      </c>
      <c r="B123" s="171">
        <v>1</v>
      </c>
      <c r="C123" s="133"/>
      <c r="D123" s="209"/>
      <c r="E123" s="153"/>
      <c r="F123" s="136"/>
      <c r="G123" s="52"/>
    </row>
    <row r="124" spans="1:7" ht="26.25" customHeight="1" x14ac:dyDescent="0.4">
      <c r="A124" s="75" t="s">
        <v>112</v>
      </c>
      <c r="B124" s="171">
        <v>1</v>
      </c>
      <c r="C124" s="133"/>
      <c r="D124" s="210"/>
      <c r="E124" s="211" t="s">
        <v>62</v>
      </c>
      <c r="F124" s="212" t="e">
        <f>AVERAGE(F117:F122)</f>
        <v>#DIV/0!</v>
      </c>
      <c r="G124" s="52"/>
    </row>
    <row r="125" spans="1:7" ht="27" customHeight="1" x14ac:dyDescent="0.4">
      <c r="A125" s="75" t="s">
        <v>113</v>
      </c>
      <c r="B125" s="213">
        <f>(B124/B123)*(B122/B121)*(B120/B119)*(B118/B117)*B116</f>
        <v>1</v>
      </c>
      <c r="C125" s="214"/>
      <c r="D125" s="215"/>
      <c r="E125" s="111" t="s">
        <v>75</v>
      </c>
      <c r="F125" s="148" t="e">
        <f>STDEV(F117:F122)/F124</f>
        <v>#DIV/0!</v>
      </c>
      <c r="G125" s="52"/>
    </row>
    <row r="126" spans="1:7" ht="27" customHeight="1" x14ac:dyDescent="0.4">
      <c r="A126" s="247" t="s">
        <v>69</v>
      </c>
      <c r="B126" s="248"/>
      <c r="C126" s="216"/>
      <c r="D126" s="217"/>
      <c r="E126" s="218" t="s">
        <v>20</v>
      </c>
      <c r="F126" s="219">
        <f>COUNT(F117:F122)</f>
        <v>0</v>
      </c>
      <c r="G126" s="52"/>
    </row>
    <row r="127" spans="1:7" ht="19.5" customHeight="1" x14ac:dyDescent="0.3">
      <c r="A127" s="249"/>
      <c r="B127" s="250"/>
      <c r="C127" s="153"/>
      <c r="D127" s="153"/>
      <c r="E127" s="153"/>
      <c r="F127" s="209"/>
      <c r="G127" s="153"/>
    </row>
    <row r="128" spans="1:7" ht="18.75" customHeight="1" x14ac:dyDescent="0.3">
      <c r="A128" s="71"/>
      <c r="B128" s="71"/>
      <c r="C128" s="153"/>
      <c r="D128" s="153"/>
      <c r="E128" s="153"/>
      <c r="F128" s="209"/>
      <c r="G128" s="153"/>
    </row>
    <row r="129" spans="1:7" ht="18.75" customHeight="1" x14ac:dyDescent="0.3">
      <c r="A129" s="62" t="s">
        <v>86</v>
      </c>
      <c r="B129" s="155" t="s">
        <v>114</v>
      </c>
      <c r="C129" s="254" t="str">
        <f>B20</f>
        <v>Torsemide USP</v>
      </c>
      <c r="D129" s="254"/>
      <c r="E129" s="156" t="s">
        <v>115</v>
      </c>
      <c r="F129" s="156"/>
      <c r="G129" s="159" t="e">
        <f>F124</f>
        <v>#DIV/0!</v>
      </c>
    </row>
    <row r="130" spans="1:7" ht="19.5" customHeight="1" x14ac:dyDescent="0.3">
      <c r="A130" s="220"/>
      <c r="B130" s="220"/>
      <c r="C130" s="221"/>
      <c r="D130" s="221"/>
      <c r="E130" s="221"/>
      <c r="F130" s="221"/>
      <c r="G130" s="221"/>
    </row>
    <row r="131" spans="1:7" ht="18.75" customHeight="1" x14ac:dyDescent="0.3">
      <c r="A131" s="52"/>
      <c r="B131" s="253" t="s">
        <v>25</v>
      </c>
      <c r="C131" s="253"/>
      <c r="D131" s="52"/>
      <c r="E131" s="222" t="s">
        <v>26</v>
      </c>
      <c r="F131" s="223"/>
      <c r="G131" s="230" t="s">
        <v>27</v>
      </c>
    </row>
    <row r="132" spans="1:7" ht="60" customHeight="1" x14ac:dyDescent="0.3">
      <c r="A132" s="224" t="s">
        <v>28</v>
      </c>
      <c r="B132" s="225"/>
      <c r="C132" s="225"/>
      <c r="D132" s="52"/>
      <c r="E132" s="225"/>
      <c r="F132" s="153"/>
      <c r="G132" s="226"/>
    </row>
    <row r="133" spans="1:7" ht="60" customHeight="1" x14ac:dyDescent="0.3">
      <c r="A133" s="224" t="s">
        <v>29</v>
      </c>
      <c r="B133" s="227"/>
      <c r="C133" s="227"/>
      <c r="D133" s="52"/>
      <c r="E133" s="227"/>
      <c r="F133" s="153"/>
      <c r="G133" s="228"/>
    </row>
    <row r="250" spans="1:1" x14ac:dyDescent="0.2">
      <c r="A250">
        <v>0</v>
      </c>
    </row>
  </sheetData>
  <sheetProtection password="F258" sheet="1" formatColumns="0" formatRows="0" insertColumns="0" insertHyperlinks="0" deleteColumns="0" deleteRows="0" autoFilter="0" pivotTables="0"/>
  <mergeCells count="26"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  <mergeCell ref="B27:C27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torsemide assay</vt:lpstr>
      <vt:lpstr>TORSEMIDE uoc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2016-07-05T06:55:54Z</dcterms:modified>
</cp:coreProperties>
</file>