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6"/>
  </bookViews>
  <sheets>
    <sheet name="SST LAMIVUDINE" sheetId="1" r:id="rId1"/>
    <sheet name="SST TENOFOVIR" sheetId="6" r:id="rId2"/>
    <sheet name="SST EFAVIRENZ" sheetId="7" r:id="rId3"/>
    <sheet name="Uniformity" sheetId="12" r:id="rId4"/>
    <sheet name="Lamivudine" sheetId="3" r:id="rId5"/>
    <sheet name="Tenofovir Disoproxil Fumarate" sheetId="4" r:id="rId6"/>
    <sheet name="Efavirenz" sheetId="5" r:id="rId7"/>
  </sheets>
  <definedNames>
    <definedName name="_xlnm.Print_Area" localSheetId="6">Efavirenz!$A$1:$I$124</definedName>
    <definedName name="_xlnm.Print_Area" localSheetId="4">Lamivudine!$A$1:$I$124</definedName>
    <definedName name="_xlnm.Print_Area" localSheetId="2">'SST EFAVIRENZ'!$A$15:$G$61</definedName>
    <definedName name="_xlnm.Print_Area" localSheetId="0">'SST LAMIVUDINE'!$A$15:$G$61</definedName>
    <definedName name="_xlnm.Print_Area" localSheetId="1">'SST TENOFOVIR'!$A$15:$G$61</definedName>
    <definedName name="_xlnm.Print_Area" localSheetId="5">'Tenofovir Disoproxil Fumarate'!$A$1:$I$124</definedName>
    <definedName name="_xlnm.Print_Area" localSheetId="3">Uniformity!$A$12:$F$54</definedName>
  </definedNames>
  <calcPr calcId="145621"/>
</workbook>
</file>

<file path=xl/calcChain.xml><?xml version="1.0" encoding="utf-8"?>
<calcChain xmlns="http://schemas.openxmlformats.org/spreadsheetml/2006/main">
  <c r="B57" i="5" l="1"/>
  <c r="B57" i="4"/>
  <c r="B57" i="3"/>
  <c r="C46" i="12"/>
  <c r="D49" i="12" s="1"/>
  <c r="C45" i="12"/>
  <c r="C19" i="12"/>
  <c r="D30" i="12" l="1"/>
  <c r="D38" i="12"/>
  <c r="D50" i="12"/>
  <c r="D27" i="12"/>
  <c r="D31" i="12"/>
  <c r="D35" i="12"/>
  <c r="D39" i="12"/>
  <c r="D43" i="12"/>
  <c r="C49" i="12"/>
  <c r="D25" i="12"/>
  <c r="D29" i="12"/>
  <c r="D33" i="12"/>
  <c r="D37" i="12"/>
  <c r="D41" i="12"/>
  <c r="C50" i="12"/>
  <c r="D26" i="12"/>
  <c r="D34" i="12"/>
  <c r="D42" i="12"/>
  <c r="B49" i="12"/>
  <c r="D24" i="12"/>
  <c r="D28" i="12"/>
  <c r="D32" i="12"/>
  <c r="D36" i="12"/>
  <c r="D40" i="12"/>
  <c r="B53" i="7" l="1"/>
  <c r="E51" i="7"/>
  <c r="D51" i="7"/>
  <c r="C51" i="7"/>
  <c r="B51" i="7"/>
  <c r="B52" i="7" s="1"/>
  <c r="B32" i="7"/>
  <c r="E30" i="7"/>
  <c r="B30" i="7"/>
  <c r="B31" i="7" s="1"/>
  <c r="B53" i="6"/>
  <c r="E51" i="6"/>
  <c r="D51" i="6"/>
  <c r="C51" i="6"/>
  <c r="B51" i="6"/>
  <c r="B52" i="6" s="1"/>
  <c r="B32" i="6"/>
  <c r="E30" i="6"/>
  <c r="B30" i="6"/>
  <c r="B31" i="6" s="1"/>
  <c r="C120" i="5" l="1"/>
  <c r="B116" i="5"/>
  <c r="D100" i="5" s="1"/>
  <c r="B98" i="5"/>
  <c r="F95" i="5"/>
  <c r="D95" i="5"/>
  <c r="B87" i="5"/>
  <c r="F97" i="5" s="1"/>
  <c r="F98" i="5" s="1"/>
  <c r="F99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B30" i="5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B30" i="4"/>
  <c r="C120" i="3"/>
  <c r="B116" i="3"/>
  <c r="D100" i="3" s="1"/>
  <c r="B98" i="3"/>
  <c r="D97" i="3"/>
  <c r="F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B69" i="5"/>
  <c r="I39" i="5"/>
  <c r="I39" i="3"/>
  <c r="I92" i="5"/>
  <c r="I39" i="4"/>
  <c r="D101" i="5"/>
  <c r="G91" i="5" s="1"/>
  <c r="D97" i="5"/>
  <c r="D98" i="5" s="1"/>
  <c r="D101" i="4"/>
  <c r="D102" i="4" s="1"/>
  <c r="D97" i="4"/>
  <c r="D98" i="4" s="1"/>
  <c r="D101" i="3"/>
  <c r="D98" i="3"/>
  <c r="D99" i="3" s="1"/>
  <c r="F98" i="3"/>
  <c r="F99" i="3" s="1"/>
  <c r="D45" i="3"/>
  <c r="D46" i="3" s="1"/>
  <c r="D102" i="3"/>
  <c r="D49" i="3"/>
  <c r="D49" i="4"/>
  <c r="B69" i="3"/>
  <c r="B69" i="4"/>
  <c r="F44" i="3"/>
  <c r="F45" i="3" s="1"/>
  <c r="F46" i="3" s="1"/>
  <c r="D44" i="5"/>
  <c r="D45" i="5" s="1"/>
  <c r="D46" i="5" s="1"/>
  <c r="F44" i="5"/>
  <c r="F45" i="5" s="1"/>
  <c r="G40" i="5" s="1"/>
  <c r="D44" i="4"/>
  <c r="D45" i="4" s="1"/>
  <c r="D46" i="4" s="1"/>
  <c r="F44" i="4"/>
  <c r="F45" i="4" s="1"/>
  <c r="G40" i="4" s="1"/>
  <c r="F98" i="4"/>
  <c r="F99" i="4" s="1"/>
  <c r="D49" i="5"/>
  <c r="E40" i="5"/>
  <c r="G93" i="5" l="1"/>
  <c r="G92" i="3"/>
  <c r="D102" i="5"/>
  <c r="G92" i="5"/>
  <c r="G94" i="5"/>
  <c r="E93" i="5"/>
  <c r="E91" i="5"/>
  <c r="E94" i="5"/>
  <c r="E92" i="5"/>
  <c r="D99" i="5"/>
  <c r="E38" i="5"/>
  <c r="D99" i="4"/>
  <c r="E92" i="4"/>
  <c r="E91" i="4"/>
  <c r="E94" i="4"/>
  <c r="E93" i="4"/>
  <c r="G93" i="4"/>
  <c r="G91" i="4"/>
  <c r="G94" i="3"/>
  <c r="G93" i="3"/>
  <c r="G91" i="3"/>
  <c r="G39" i="3"/>
  <c r="E38" i="3"/>
  <c r="E39" i="3"/>
  <c r="G38" i="3"/>
  <c r="E93" i="3"/>
  <c r="E94" i="3"/>
  <c r="E41" i="3"/>
  <c r="E40" i="3"/>
  <c r="E91" i="3"/>
  <c r="E92" i="3"/>
  <c r="E38" i="4"/>
  <c r="E39" i="5"/>
  <c r="G38" i="5"/>
  <c r="G39" i="4"/>
  <c r="F46" i="4"/>
  <c r="E39" i="4"/>
  <c r="G38" i="4"/>
  <c r="E41" i="5"/>
  <c r="G92" i="4"/>
  <c r="E40" i="4"/>
  <c r="G39" i="5"/>
  <c r="F46" i="5"/>
  <c r="G41" i="5"/>
  <c r="E41" i="4"/>
  <c r="G41" i="4"/>
  <c r="G40" i="3"/>
  <c r="G41" i="3"/>
  <c r="G94" i="4"/>
  <c r="G95" i="5" l="1"/>
  <c r="D105" i="5"/>
  <c r="E95" i="5"/>
  <c r="D103" i="5"/>
  <c r="D50" i="5"/>
  <c r="G66" i="5" s="1"/>
  <c r="H66" i="5" s="1"/>
  <c r="E42" i="5"/>
  <c r="G42" i="5"/>
  <c r="E95" i="4"/>
  <c r="D103" i="4"/>
  <c r="E109" i="4" s="1"/>
  <c r="F109" i="4" s="1"/>
  <c r="D105" i="4"/>
  <c r="G95" i="4"/>
  <c r="G42" i="4"/>
  <c r="D52" i="5"/>
  <c r="D105" i="3"/>
  <c r="D103" i="3"/>
  <c r="E112" i="3" s="1"/>
  <c r="F112" i="3" s="1"/>
  <c r="G95" i="3"/>
  <c r="E95" i="3"/>
  <c r="D50" i="3"/>
  <c r="G66" i="3" s="1"/>
  <c r="H66" i="3" s="1"/>
  <c r="D52" i="3"/>
  <c r="E42" i="3"/>
  <c r="G42" i="3"/>
  <c r="D51" i="5"/>
  <c r="D52" i="4"/>
  <c r="D50" i="4"/>
  <c r="E42" i="4"/>
  <c r="G62" i="5" l="1"/>
  <c r="H62" i="5" s="1"/>
  <c r="G68" i="5"/>
  <c r="H68" i="5" s="1"/>
  <c r="G62" i="3"/>
  <c r="H62" i="3" s="1"/>
  <c r="G68" i="3"/>
  <c r="H68" i="3" s="1"/>
  <c r="D95" i="3"/>
  <c r="I92" i="3" s="1"/>
  <c r="E110" i="5"/>
  <c r="F110" i="5" s="1"/>
  <c r="E109" i="5"/>
  <c r="F109" i="5" s="1"/>
  <c r="E108" i="5"/>
  <c r="E112" i="5"/>
  <c r="F112" i="5" s="1"/>
  <c r="D104" i="5"/>
  <c r="E113" i="5"/>
  <c r="F113" i="5" s="1"/>
  <c r="E111" i="5"/>
  <c r="F111" i="5" s="1"/>
  <c r="G63" i="5"/>
  <c r="H63" i="5" s="1"/>
  <c r="G69" i="5"/>
  <c r="H69" i="5" s="1"/>
  <c r="G67" i="5"/>
  <c r="H67" i="5" s="1"/>
  <c r="G65" i="5"/>
  <c r="H65" i="5" s="1"/>
  <c r="G64" i="5"/>
  <c r="H64" i="5" s="1"/>
  <c r="G60" i="5"/>
  <c r="H60" i="5" s="1"/>
  <c r="G71" i="5"/>
  <c r="H71" i="5" s="1"/>
  <c r="G61" i="5"/>
  <c r="H61" i="5" s="1"/>
  <c r="G70" i="5"/>
  <c r="H70" i="5" s="1"/>
  <c r="E111" i="4"/>
  <c r="F111" i="4" s="1"/>
  <c r="D104" i="4"/>
  <c r="E108" i="4"/>
  <c r="F108" i="4" s="1"/>
  <c r="E110" i="4"/>
  <c r="F110" i="4" s="1"/>
  <c r="E113" i="4"/>
  <c r="F113" i="4" s="1"/>
  <c r="E112" i="4"/>
  <c r="F112" i="4" s="1"/>
  <c r="D104" i="3"/>
  <c r="E108" i="3"/>
  <c r="F108" i="3" s="1"/>
  <c r="E109" i="3"/>
  <c r="F109" i="3" s="1"/>
  <c r="E111" i="3"/>
  <c r="F111" i="3" s="1"/>
  <c r="E110" i="3"/>
  <c r="F110" i="3" s="1"/>
  <c r="E113" i="3"/>
  <c r="F113" i="3" s="1"/>
  <c r="G65" i="3"/>
  <c r="H65" i="3" s="1"/>
  <c r="G64" i="3"/>
  <c r="H64" i="3" s="1"/>
  <c r="G60" i="3"/>
  <c r="H60" i="3" s="1"/>
  <c r="G70" i="3"/>
  <c r="H70" i="3" s="1"/>
  <c r="D51" i="3"/>
  <c r="G63" i="3"/>
  <c r="H63" i="3" s="1"/>
  <c r="G71" i="3"/>
  <c r="H71" i="3" s="1"/>
  <c r="G67" i="3"/>
  <c r="H67" i="3" s="1"/>
  <c r="G69" i="3"/>
  <c r="H69" i="3" s="1"/>
  <c r="G61" i="3"/>
  <c r="H61" i="3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G70" i="4"/>
  <c r="H70" i="4" s="1"/>
  <c r="G67" i="4"/>
  <c r="H67" i="4" s="1"/>
  <c r="G65" i="4"/>
  <c r="H65" i="4" s="1"/>
  <c r="G63" i="4"/>
  <c r="H63" i="4" s="1"/>
  <c r="G61" i="4"/>
  <c r="H61" i="4" s="1"/>
  <c r="D51" i="4"/>
  <c r="F108" i="5" l="1"/>
  <c r="E115" i="5"/>
  <c r="E116" i="5" s="1"/>
  <c r="E117" i="5"/>
  <c r="G74" i="5"/>
  <c r="G72" i="5"/>
  <c r="G73" i="5" s="1"/>
  <c r="E117" i="4"/>
  <c r="E115" i="4"/>
  <c r="E116" i="4" s="1"/>
  <c r="E117" i="3"/>
  <c r="E115" i="3"/>
  <c r="E116" i="3" s="1"/>
  <c r="G74" i="3"/>
  <c r="G72" i="3"/>
  <c r="G73" i="3" s="1"/>
  <c r="F115" i="3"/>
  <c r="F117" i="3"/>
  <c r="H60" i="4"/>
  <c r="G74" i="4"/>
  <c r="G72" i="4"/>
  <c r="G73" i="4" s="1"/>
  <c r="H74" i="5"/>
  <c r="H72" i="5"/>
  <c r="F115" i="4"/>
  <c r="F117" i="4"/>
  <c r="H72" i="3"/>
  <c r="H74" i="3"/>
  <c r="F117" i="5" l="1"/>
  <c r="F115" i="5"/>
  <c r="G120" i="5" s="1"/>
  <c r="G76" i="3"/>
  <c r="H73" i="3"/>
  <c r="G120" i="4"/>
  <c r="F116" i="4"/>
  <c r="G76" i="5"/>
  <c r="H73" i="5"/>
  <c r="H74" i="4"/>
  <c r="H72" i="4"/>
  <c r="G120" i="3"/>
  <c r="F116" i="3"/>
  <c r="F116" i="5" l="1"/>
  <c r="G76" i="4"/>
  <c r="H73" i="4"/>
</calcChain>
</file>

<file path=xl/sharedStrings.xml><?xml version="1.0" encoding="utf-8"?>
<sst xmlns="http://schemas.openxmlformats.org/spreadsheetml/2006/main" count="644" uniqueCount="132">
  <si>
    <t>HPLC System Suitability Report</t>
  </si>
  <si>
    <t>Analysis Data</t>
  </si>
  <si>
    <t>Assay</t>
  </si>
  <si>
    <t>Sample(s)</t>
  </si>
  <si>
    <t>Reference Substance:</t>
  </si>
  <si>
    <t>Tenofovir Disoproxil Fumarate, Lamivudine &amp; Efavirenz tablets</t>
  </si>
  <si>
    <t>% age Purity:</t>
  </si>
  <si>
    <t>Weight (mg):</t>
  </si>
  <si>
    <t>Tenofovir Disoproxil Fumarate 300mg, Lamivudine 300mg &amp; Efavirenz 600mg tablets</t>
  </si>
  <si>
    <t>Standard Conc (mg/mL):</t>
  </si>
  <si>
    <t>Each tablet contains Tenofovir Disoproxil Fumarate 300mg, Lamivudine 300mg &amp; Efavirenz 600mg tablets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</si>
  <si>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</si>
  <si>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</si>
  <si>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</si>
  <si>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</si>
  <si>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</si>
  <si>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</si>
  <si>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</si>
  <si>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</si>
  <si>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</si>
  <si>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</si>
  <si>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</si>
  <si>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</si>
  <si>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</si>
  <si>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</si>
  <si>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</si>
  <si>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</si>
  <si>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</si>
  <si>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</si>
  <si>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</si>
  <si>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</si>
  <si>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</si>
  <si>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</si>
  <si>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</si>
  <si>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</si>
  <si>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</si>
  <si>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</si>
  <si>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</si>
  <si>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</si>
  <si>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</si>
  <si>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</si>
  <si>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</si>
  <si>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</si>
  <si>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</si>
  <si>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</si>
  <si>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</si>
  <si>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</si>
  <si>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</si>
  <si>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</si>
  <si>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</si>
  <si>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</si>
  <si>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</si>
  <si>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</si>
  <si>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</si>
  <si>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</si>
  <si>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</si>
  <si>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</si>
  <si>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</si>
  <si>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</si>
  <si>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</si>
  <si>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</si>
  <si>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</si>
  <si>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</si>
  <si>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</si>
  <si>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</si>
  <si>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</si>
  <si>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</si>
  <si>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</si>
  <si>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</si>
  <si>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</si>
  <si>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</si>
  <si>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</si>
  <si>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</si>
  <si>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</si>
  <si>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</si>
  <si>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</si>
  <si>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</si>
  <si>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</si>
  <si>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</si>
  <si>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</si>
  <si>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</si>
  <si>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</si>
  <si>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</si>
  <si>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</si>
  <si>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</si>
  <si>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</si>
  <si>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</si>
  <si>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</si>
  <si>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</si>
  <si>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</si>
  <si>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</si>
  <si>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</si>
  <si>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</si>
  <si>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</si>
  <si>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</si>
  <si>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</si>
  <si>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</si>
  <si>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</si>
  <si>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</si>
  <si>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</si>
  <si>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</si>
  <si>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</si>
  <si>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</si>
  <si>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</si>
  <si>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</si>
  <si>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</si>
  <si>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</si>
  <si>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</si>
  <si>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</si>
  <si>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</si>
  <si>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</si>
  <si>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</si>
  <si>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</si>
  <si>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</si>
  <si>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</si>
  <si>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</si>
  <si>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</si>
  <si>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</si>
  <si>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</si>
  <si>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</si>
  <si>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</si>
  <si>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</si>
  <si>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</si>
  <si>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</si>
  <si>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L3-9</t>
  </si>
  <si>
    <t>Tenofovir Disoproxil Fumarate</t>
  </si>
  <si>
    <t>T11-6</t>
  </si>
  <si>
    <t>Efavirenz</t>
  </si>
  <si>
    <t>E15-3</t>
  </si>
  <si>
    <t>NDQB201605895</t>
  </si>
  <si>
    <t>2016-05-06 11:00:27</t>
  </si>
  <si>
    <t xml:space="preserve"> Lamivudine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</si>
</sst>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</cellStyleXfs>
  <cellXfs count="70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5" applyFont="1" applyFill="1"/>
    <xf numFmtId="0" fontId="24" fillId="2" borderId="0" xfId="5" applyFill="1"/>
    <xf numFmtId="0" fontId="10" fillId="2" borderId="18" xfId="5" applyFont="1" applyFill="1" applyBorder="1" applyAlignment="1">
      <alignment horizontal="center" wrapText="1"/>
    </xf>
    <xf numFmtId="0" fontId="10" fillId="2" borderId="19" xfId="5" applyFont="1" applyFill="1" applyBorder="1" applyAlignment="1">
      <alignment horizontal="center" wrapText="1"/>
    </xf>
    <xf numFmtId="0" fontId="10" fillId="2" borderId="20" xfId="5" applyFont="1" applyFill="1" applyBorder="1" applyAlignment="1">
      <alignment horizontal="center" wrapText="1"/>
    </xf>
    <xf numFmtId="0" fontId="10" fillId="2" borderId="0" xfId="5" applyFont="1" applyFill="1" applyAlignment="1">
      <alignment wrapText="1"/>
    </xf>
    <xf numFmtId="0" fontId="4" fillId="2" borderId="0" xfId="5" applyFont="1" applyFill="1" applyAlignment="1">
      <alignment horizontal="center"/>
    </xf>
    <xf numFmtId="0" fontId="4" fillId="2" borderId="0" xfId="5" applyFont="1" applyFill="1"/>
    <xf numFmtId="0" fontId="5" fillId="2" borderId="0" xfId="5" applyFont="1" applyFill="1" applyAlignment="1">
      <alignment horizontal="right"/>
    </xf>
    <xf numFmtId="0" fontId="6" fillId="2" borderId="0" xfId="5" applyFont="1" applyFill="1"/>
    <xf numFmtId="167" fontId="6" fillId="2" borderId="0" xfId="5" applyNumberFormat="1" applyFont="1" applyFill="1" applyAlignment="1">
      <alignment horizontal="center"/>
    </xf>
    <xf numFmtId="0" fontId="5" fillId="2" borderId="0" xfId="5" applyFont="1" applyFill="1" applyAlignment="1">
      <alignment horizontal="right"/>
    </xf>
    <xf numFmtId="167" fontId="6" fillId="2" borderId="0" xfId="5" applyNumberFormat="1" applyFont="1" applyFill="1"/>
    <xf numFmtId="0" fontId="4" fillId="2" borderId="0" xfId="5" applyFont="1" applyFill="1" applyAlignment="1">
      <alignment horizontal="left"/>
    </xf>
    <xf numFmtId="0" fontId="9" fillId="2" borderId="0" xfId="5" applyFont="1" applyFill="1"/>
    <xf numFmtId="164" fontId="1" fillId="2" borderId="0" xfId="5" applyNumberFormat="1" applyFont="1" applyFill="1" applyAlignment="1">
      <alignment horizontal="center"/>
    </xf>
    <xf numFmtId="164" fontId="1" fillId="2" borderId="0" xfId="5" applyNumberFormat="1" applyFont="1" applyFill="1"/>
    <xf numFmtId="164" fontId="5" fillId="2" borderId="12" xfId="5" applyNumberFormat="1" applyFont="1" applyFill="1" applyBorder="1" applyAlignment="1">
      <alignment horizontal="center" wrapText="1"/>
    </xf>
    <xf numFmtId="0" fontId="5" fillId="2" borderId="12" xfId="5" applyFont="1" applyFill="1" applyBorder="1" applyAlignment="1">
      <alignment horizontal="center" wrapText="1"/>
    </xf>
    <xf numFmtId="0" fontId="2" fillId="2" borderId="0" xfId="5" applyFont="1" applyFill="1" applyAlignment="1">
      <alignment horizontal="center"/>
    </xf>
    <xf numFmtId="2" fontId="6" fillId="3" borderId="14" xfId="5" applyNumberFormat="1" applyFont="1" applyFill="1" applyBorder="1" applyProtection="1">
      <protection locked="0"/>
    </xf>
    <xf numFmtId="10" fontId="6" fillId="2" borderId="13" xfId="5" applyNumberFormat="1" applyFont="1" applyFill="1" applyBorder="1" applyAlignment="1">
      <alignment horizontal="center"/>
    </xf>
    <xf numFmtId="10" fontId="6" fillId="2" borderId="0" xfId="5" applyNumberFormat="1" applyFont="1" applyFill="1" applyAlignment="1">
      <alignment horizontal="center"/>
    </xf>
    <xf numFmtId="10" fontId="6" fillId="2" borderId="14" xfId="5" applyNumberFormat="1" applyFont="1" applyFill="1" applyBorder="1" applyAlignment="1">
      <alignment horizontal="center"/>
    </xf>
    <xf numFmtId="2" fontId="6" fillId="3" borderId="15" xfId="5" applyNumberFormat="1" applyFont="1" applyFill="1" applyBorder="1" applyProtection="1">
      <protection locked="0"/>
    </xf>
    <xf numFmtId="10" fontId="6" fillId="2" borderId="15" xfId="5" applyNumberFormat="1" applyFont="1" applyFill="1" applyBorder="1" applyAlignment="1">
      <alignment horizontal="center"/>
    </xf>
    <xf numFmtId="166" fontId="2" fillId="2" borderId="0" xfId="5" applyNumberFormat="1" applyFont="1" applyFill="1" applyAlignment="1">
      <alignment horizontal="center"/>
    </xf>
    <xf numFmtId="10" fontId="2" fillId="2" borderId="0" xfId="5" applyNumberFormat="1" applyFont="1" applyFill="1" applyAlignment="1">
      <alignment horizontal="center"/>
    </xf>
    <xf numFmtId="0" fontId="6" fillId="2" borderId="12" xfId="5" applyFont="1" applyFill="1" applyBorder="1" applyAlignment="1">
      <alignment horizontal="right" vertical="center"/>
    </xf>
    <xf numFmtId="166" fontId="6" fillId="2" borderId="12" xfId="5" applyNumberFormat="1" applyFont="1" applyFill="1" applyBorder="1" applyAlignment="1">
      <alignment horizontal="center" vertical="center"/>
    </xf>
    <xf numFmtId="166" fontId="6" fillId="2" borderId="0" xfId="5" applyNumberFormat="1" applyFont="1" applyFill="1" applyAlignment="1">
      <alignment horizontal="center"/>
    </xf>
    <xf numFmtId="164" fontId="5" fillId="2" borderId="12" xfId="5" applyNumberFormat="1" applyFont="1" applyFill="1" applyBorder="1" applyAlignment="1">
      <alignment horizontal="center" vertical="center"/>
    </xf>
    <xf numFmtId="2" fontId="8" fillId="2" borderId="0" xfId="5" applyNumberFormat="1" applyFont="1" applyFill="1" applyAlignment="1">
      <alignment horizontal="right"/>
    </xf>
    <xf numFmtId="2" fontId="5" fillId="2" borderId="0" xfId="5" applyNumberFormat="1" applyFont="1" applyFill="1"/>
    <xf numFmtId="2" fontId="8" fillId="2" borderId="0" xfId="5" applyNumberFormat="1" applyFont="1" applyFill="1"/>
    <xf numFmtId="0" fontId="5" fillId="2" borderId="12" xfId="5" applyFont="1" applyFill="1" applyBorder="1" applyAlignment="1">
      <alignment horizontal="center" vertical="center"/>
    </xf>
    <xf numFmtId="10" fontId="2" fillId="2" borderId="0" xfId="5" applyNumberFormat="1" applyFont="1" applyFill="1"/>
    <xf numFmtId="166" fontId="5" fillId="2" borderId="13" xfId="5" applyNumberFormat="1" applyFont="1" applyFill="1" applyBorder="1" applyAlignment="1">
      <alignment horizontal="center" vertical="center"/>
    </xf>
    <xf numFmtId="165" fontId="5" fillId="2" borderId="16" xfId="5" applyNumberFormat="1" applyFont="1" applyFill="1" applyBorder="1" applyAlignment="1">
      <alignment horizontal="center"/>
    </xf>
    <xf numFmtId="2" fontId="5" fillId="2" borderId="12" xfId="5" applyNumberFormat="1" applyFont="1" applyFill="1" applyBorder="1" applyAlignment="1">
      <alignment horizontal="center" vertical="center"/>
    </xf>
    <xf numFmtId="166" fontId="5" fillId="2" borderId="15" xfId="5" applyNumberFormat="1" applyFont="1" applyFill="1" applyBorder="1" applyAlignment="1">
      <alignment horizontal="center" vertical="center"/>
    </xf>
    <xf numFmtId="165" fontId="5" fillId="2" borderId="17" xfId="5" applyNumberFormat="1" applyFont="1" applyFill="1" applyBorder="1" applyAlignment="1">
      <alignment horizontal="center"/>
    </xf>
    <xf numFmtId="0" fontId="6" fillId="2" borderId="9" xfId="5" applyFont="1" applyFill="1" applyBorder="1"/>
    <xf numFmtId="0" fontId="6" fillId="2" borderId="0" xfId="5" applyFont="1" applyFill="1" applyAlignment="1">
      <alignment horizontal="center"/>
    </xf>
    <xf numFmtId="10" fontId="6" fillId="2" borderId="9" xfId="5" applyNumberFormat="1" applyFont="1" applyFill="1" applyBorder="1"/>
    <xf numFmtId="0" fontId="5" fillId="2" borderId="10" xfId="5" applyFont="1" applyFill="1" applyBorder="1"/>
    <xf numFmtId="0" fontId="5" fillId="2" borderId="10" xfId="5" applyFont="1" applyFill="1" applyBorder="1" applyAlignment="1">
      <alignment horizontal="center"/>
    </xf>
    <xf numFmtId="0" fontId="6" fillId="2" borderId="10" xfId="5" applyFont="1" applyFill="1" applyBorder="1" applyAlignment="1">
      <alignment horizontal="center"/>
    </xf>
    <xf numFmtId="0" fontId="6" fillId="2" borderId="7" xfId="5" applyFont="1" applyFill="1" applyBorder="1"/>
    <xf numFmtId="0" fontId="5" fillId="2" borderId="11" xfId="5" applyFont="1" applyFill="1" applyBorder="1"/>
    <xf numFmtId="0" fontId="5" fillId="2" borderId="0" xfId="5" applyFont="1" applyFill="1"/>
    <xf numFmtId="0" fontId="6" fillId="2" borderId="11" xfId="5" applyFont="1" applyFill="1" applyBorder="1"/>
    <xf numFmtId="0" fontId="13" fillId="3" borderId="29" xfId="4" applyFont="1" applyFill="1" applyBorder="1" applyAlignment="1" applyProtection="1">
      <alignment horizontal="center"/>
      <protection locked="0"/>
    </xf>
    <xf numFmtId="0" fontId="13" fillId="3" borderId="23" xfId="4" applyFont="1" applyFill="1" applyBorder="1" applyAlignment="1" applyProtection="1">
      <alignment horizontal="center"/>
      <protection locked="0"/>
    </xf>
    <xf numFmtId="0" fontId="13" fillId="3" borderId="29" xfId="2" applyFont="1" applyFill="1" applyBorder="1" applyAlignment="1" applyProtection="1">
      <alignment horizontal="center"/>
      <protection locked="0"/>
    </xf>
    <xf numFmtId="0" fontId="13" fillId="3" borderId="23" xfId="2" applyFont="1" applyFill="1" applyBorder="1" applyAlignment="1" applyProtection="1">
      <alignment horizontal="center"/>
      <protection locked="0"/>
    </xf>
    <xf numFmtId="0" fontId="7" fillId="3" borderId="3" xfId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22" fontId="6" fillId="2" borderId="0" xfId="0" applyNumberFormat="1" applyFont="1" applyFill="1"/>
    <xf numFmtId="168" fontId="14" fillId="3" borderId="0" xfId="2" applyNumberFormat="1" applyFont="1" applyFill="1" applyAlignment="1" applyProtection="1">
      <alignment horizontal="center"/>
      <protection locked="0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48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03" t="s">
        <v>0</v>
      </c>
      <c r="B15" s="603"/>
      <c r="C15" s="603"/>
      <c r="D15" s="603"/>
      <c r="E15" s="60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12" t="s">
        <v>129</v>
      </c>
      <c r="D17" s="9"/>
      <c r="E17" s="10"/>
    </row>
    <row r="18" spans="1:6" ht="16.5" customHeight="1" x14ac:dyDescent="0.3">
      <c r="A18" s="11" t="s">
        <v>4</v>
      </c>
      <c r="B18" s="8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101.74</v>
      </c>
      <c r="C19" s="10"/>
      <c r="D19" s="10"/>
      <c r="E19" s="10"/>
    </row>
    <row r="20" spans="1:6" ht="16.5" customHeight="1" x14ac:dyDescent="0.3">
      <c r="A20" s="7" t="s">
        <v>7</v>
      </c>
      <c r="B20" s="12">
        <v>15.29</v>
      </c>
      <c r="C20" s="10"/>
      <c r="D20" s="10"/>
      <c r="E20" s="10"/>
    </row>
    <row r="21" spans="1:6" ht="16.5" customHeight="1" x14ac:dyDescent="0.3">
      <c r="A21" s="7" t="s">
        <v>9</v>
      </c>
      <c r="B21" s="13">
        <v>0.06</v>
      </c>
      <c r="C21" s="10"/>
      <c r="D21" s="10"/>
      <c r="E21" s="10"/>
    </row>
    <row r="22" spans="1:6" ht="15.75" customHeight="1" x14ac:dyDescent="0.25">
      <c r="A22" s="10"/>
      <c r="B22" s="705">
        <v>42506.481863425928</v>
      </c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17764716</v>
      </c>
      <c r="C24" s="18">
        <v>9717.1</v>
      </c>
      <c r="D24" s="19">
        <v>1.1000000000000001</v>
      </c>
      <c r="E24" s="20">
        <v>5.5</v>
      </c>
    </row>
    <row r="25" spans="1:6" ht="16.5" customHeight="1" x14ac:dyDescent="0.3">
      <c r="A25" s="17">
        <v>2</v>
      </c>
      <c r="B25" s="18">
        <v>17736701</v>
      </c>
      <c r="C25" s="18">
        <v>9678.7999999999993</v>
      </c>
      <c r="D25" s="19">
        <v>1.1000000000000001</v>
      </c>
      <c r="E25" s="19">
        <v>5.5</v>
      </c>
    </row>
    <row r="26" spans="1:6" ht="16.5" customHeight="1" x14ac:dyDescent="0.3">
      <c r="A26" s="17">
        <v>3</v>
      </c>
      <c r="B26" s="18">
        <v>17714444</v>
      </c>
      <c r="C26" s="18">
        <v>9708.9</v>
      </c>
      <c r="D26" s="19">
        <v>1.1000000000000001</v>
      </c>
      <c r="E26" s="19">
        <v>5.5</v>
      </c>
    </row>
    <row r="27" spans="1:6" ht="16.5" customHeight="1" x14ac:dyDescent="0.3">
      <c r="A27" s="17">
        <v>4</v>
      </c>
      <c r="B27" s="18">
        <v>17686862</v>
      </c>
      <c r="C27" s="18">
        <v>9732.1</v>
      </c>
      <c r="D27" s="19">
        <v>1.1000000000000001</v>
      </c>
      <c r="E27" s="19">
        <v>5.5</v>
      </c>
    </row>
    <row r="28" spans="1:6" ht="16.5" customHeight="1" x14ac:dyDescent="0.3">
      <c r="A28" s="17">
        <v>5</v>
      </c>
      <c r="B28" s="18">
        <v>17723280</v>
      </c>
      <c r="C28" s="18">
        <v>9689.7999999999993</v>
      </c>
      <c r="D28" s="19">
        <v>1.1000000000000001</v>
      </c>
      <c r="E28" s="19">
        <v>5.5</v>
      </c>
    </row>
    <row r="29" spans="1:6" ht="16.5" customHeight="1" x14ac:dyDescent="0.3">
      <c r="A29" s="17">
        <v>6</v>
      </c>
      <c r="B29" s="21">
        <v>17679385</v>
      </c>
      <c r="C29" s="21">
        <v>9716.5</v>
      </c>
      <c r="D29" s="22">
        <v>1.1000000000000001</v>
      </c>
      <c r="E29" s="22">
        <v>5.5</v>
      </c>
    </row>
    <row r="30" spans="1:6" ht="16.5" customHeight="1" x14ac:dyDescent="0.3">
      <c r="A30" s="23" t="s">
        <v>16</v>
      </c>
      <c r="B30" s="24">
        <f>AVERAGE(B24:B29)</f>
        <v>17717564.666666668</v>
      </c>
      <c r="C30" s="25">
        <f>AVERAGE(C24:C29)</f>
        <v>9707.1999999999989</v>
      </c>
      <c r="D30" s="26">
        <f>AVERAGE(D24:D29)</f>
        <v>1.0999999999999999</v>
      </c>
      <c r="E30" s="26">
        <f>AVERAGE(E24:E29)</f>
        <v>5.5</v>
      </c>
    </row>
    <row r="31" spans="1:6" ht="16.5" customHeight="1" x14ac:dyDescent="0.3">
      <c r="A31" s="27" t="s">
        <v>17</v>
      </c>
      <c r="B31" s="28">
        <f>(STDEV(B24:B29)/B30)</f>
        <v>1.7905628221604676E-3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101.74</v>
      </c>
      <c r="C40" s="10"/>
      <c r="D40" s="10"/>
      <c r="E40" s="10"/>
    </row>
    <row r="41" spans="1:6" ht="16.5" customHeight="1" x14ac:dyDescent="0.3">
      <c r="A41" s="7" t="s">
        <v>7</v>
      </c>
      <c r="B41" s="12">
        <v>15.29</v>
      </c>
      <c r="C41" s="10"/>
      <c r="D41" s="10"/>
      <c r="E41" s="10"/>
    </row>
    <row r="42" spans="1:6" ht="16.5" customHeight="1" x14ac:dyDescent="0.3">
      <c r="A42" s="7" t="s">
        <v>9</v>
      </c>
      <c r="B42" s="13">
        <v>0.3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700">
        <v>88889963</v>
      </c>
      <c r="C45" s="700">
        <v>10538.3</v>
      </c>
      <c r="D45" s="702">
        <v>1.1000000000000001</v>
      </c>
      <c r="E45" s="704">
        <v>5.4</v>
      </c>
    </row>
    <row r="46" spans="1:6" ht="16.5" customHeight="1" x14ac:dyDescent="0.3">
      <c r="A46" s="17">
        <v>2</v>
      </c>
      <c r="B46" s="700">
        <v>88352617</v>
      </c>
      <c r="C46" s="700">
        <v>10425.1</v>
      </c>
      <c r="D46" s="702">
        <v>1.1000000000000001</v>
      </c>
      <c r="E46" s="702">
        <v>5.4</v>
      </c>
    </row>
    <row r="47" spans="1:6" ht="16.5" customHeight="1" x14ac:dyDescent="0.3">
      <c r="A47" s="17">
        <v>3</v>
      </c>
      <c r="B47" s="700">
        <v>88633240</v>
      </c>
      <c r="C47" s="700">
        <v>10379.799999999999</v>
      </c>
      <c r="D47" s="702">
        <v>1.1000000000000001</v>
      </c>
      <c r="E47" s="702">
        <v>5.4</v>
      </c>
    </row>
    <row r="48" spans="1:6" ht="16.5" customHeight="1" x14ac:dyDescent="0.3">
      <c r="A48" s="17">
        <v>4</v>
      </c>
      <c r="B48" s="700">
        <v>88328787</v>
      </c>
      <c r="C48" s="700">
        <v>10373.4</v>
      </c>
      <c r="D48" s="702">
        <v>1.1000000000000001</v>
      </c>
      <c r="E48" s="702">
        <v>5.4</v>
      </c>
    </row>
    <row r="49" spans="1:7" ht="16.5" customHeight="1" x14ac:dyDescent="0.3">
      <c r="A49" s="17">
        <v>5</v>
      </c>
      <c r="B49" s="700">
        <v>88629989</v>
      </c>
      <c r="C49" s="700">
        <v>10436.299999999999</v>
      </c>
      <c r="D49" s="702">
        <v>1.1000000000000001</v>
      </c>
      <c r="E49" s="702">
        <v>5.4</v>
      </c>
    </row>
    <row r="50" spans="1:7" ht="16.5" customHeight="1" x14ac:dyDescent="0.3">
      <c r="A50" s="17">
        <v>6</v>
      </c>
      <c r="B50" s="701">
        <v>88595502</v>
      </c>
      <c r="C50" s="701">
        <v>10427.799999999999</v>
      </c>
      <c r="D50" s="703">
        <v>1.1000000000000001</v>
      </c>
      <c r="E50" s="703">
        <v>5.4</v>
      </c>
    </row>
    <row r="51" spans="1:7" ht="16.5" customHeight="1" x14ac:dyDescent="0.3">
      <c r="A51" s="23" t="s">
        <v>16</v>
      </c>
      <c r="B51" s="24">
        <f>AVERAGE(B45:B50)</f>
        <v>88571683</v>
      </c>
      <c r="C51" s="25">
        <f>AVERAGE(C45:C50)</f>
        <v>10430.116666666667</v>
      </c>
      <c r="D51" s="26">
        <f>AVERAGE(D45:D50)</f>
        <v>1.0999999999999999</v>
      </c>
      <c r="E51" s="26">
        <f>AVERAGE(E45:E50)</f>
        <v>5.3999999999999995</v>
      </c>
    </row>
    <row r="52" spans="1:7" ht="16.5" customHeight="1" x14ac:dyDescent="0.3">
      <c r="A52" s="27" t="s">
        <v>17</v>
      </c>
      <c r="B52" s="28">
        <f>(STDEV(B45:B50)/B51)</f>
        <v>2.3468965997342052E-3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04" t="s">
        <v>24</v>
      </c>
      <c r="C59" s="604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548" customWidth="1"/>
    <col min="2" max="2" width="20.42578125" style="548" customWidth="1"/>
    <col min="3" max="3" width="31.85546875" style="548" customWidth="1"/>
    <col min="4" max="4" width="25.85546875" style="548" customWidth="1"/>
    <col min="5" max="5" width="25.7109375" style="548" customWidth="1"/>
    <col min="6" max="6" width="23.140625" style="548" customWidth="1"/>
    <col min="7" max="7" width="28.42578125" style="548" customWidth="1"/>
    <col min="8" max="8" width="21.5703125" style="548" customWidth="1"/>
    <col min="9" max="9" width="9.140625" style="54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03" t="s">
        <v>0</v>
      </c>
      <c r="B15" s="603"/>
      <c r="C15" s="603"/>
      <c r="D15" s="603"/>
      <c r="E15" s="603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12" t="s">
        <v>129</v>
      </c>
      <c r="D17" s="9"/>
      <c r="E17" s="53"/>
    </row>
    <row r="18" spans="1:5" ht="16.5" customHeight="1" x14ac:dyDescent="0.3">
      <c r="A18" s="55" t="s">
        <v>4</v>
      </c>
      <c r="B18" s="8" t="s">
        <v>125</v>
      </c>
      <c r="C18" s="53"/>
      <c r="D18" s="53"/>
      <c r="E18" s="53"/>
    </row>
    <row r="19" spans="1:5" ht="16.5" customHeight="1" x14ac:dyDescent="0.3">
      <c r="A19" s="55" t="s">
        <v>6</v>
      </c>
      <c r="B19" s="12">
        <v>98.8</v>
      </c>
      <c r="C19" s="53"/>
      <c r="D19" s="53"/>
      <c r="E19" s="53"/>
    </row>
    <row r="20" spans="1:5" ht="16.5" customHeight="1" x14ac:dyDescent="0.3">
      <c r="A20" s="8" t="s">
        <v>7</v>
      </c>
      <c r="B20" s="12">
        <v>17.149999999999999</v>
      </c>
      <c r="C20" s="53"/>
      <c r="D20" s="53"/>
      <c r="E20" s="53"/>
    </row>
    <row r="21" spans="1:5" ht="16.5" customHeight="1" x14ac:dyDescent="0.3">
      <c r="A21" s="8" t="s">
        <v>9</v>
      </c>
      <c r="B21" s="13">
        <v>0.06</v>
      </c>
      <c r="C21" s="53"/>
      <c r="D21" s="53"/>
      <c r="E21" s="53"/>
    </row>
    <row r="22" spans="1:5" ht="15.75" customHeight="1" x14ac:dyDescent="0.25">
      <c r="A22" s="53"/>
      <c r="B22" s="705">
        <v>42506.481863425928</v>
      </c>
      <c r="C22" s="53"/>
      <c r="D22" s="53"/>
      <c r="E22" s="53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13892145</v>
      </c>
      <c r="C24" s="18">
        <v>159622.39999999999</v>
      </c>
      <c r="D24" s="19">
        <v>1</v>
      </c>
      <c r="E24" s="19">
        <v>15.1</v>
      </c>
    </row>
    <row r="25" spans="1:5" ht="16.5" customHeight="1" x14ac:dyDescent="0.3">
      <c r="A25" s="17">
        <v>2</v>
      </c>
      <c r="B25" s="18">
        <v>13890412</v>
      </c>
      <c r="C25" s="18">
        <v>162437.70000000001</v>
      </c>
      <c r="D25" s="19">
        <v>1</v>
      </c>
      <c r="E25" s="19">
        <v>15.1</v>
      </c>
    </row>
    <row r="26" spans="1:5" ht="16.5" customHeight="1" x14ac:dyDescent="0.3">
      <c r="A26" s="17">
        <v>3</v>
      </c>
      <c r="B26" s="18">
        <v>13881806</v>
      </c>
      <c r="C26" s="18">
        <v>160730</v>
      </c>
      <c r="D26" s="19">
        <v>1</v>
      </c>
      <c r="E26" s="19">
        <v>15.1</v>
      </c>
    </row>
    <row r="27" spans="1:5" ht="16.5" customHeight="1" x14ac:dyDescent="0.3">
      <c r="A27" s="17">
        <v>4</v>
      </c>
      <c r="B27" s="18">
        <v>13852736</v>
      </c>
      <c r="C27" s="18">
        <v>9732.1</v>
      </c>
      <c r="D27" s="19">
        <v>1</v>
      </c>
      <c r="E27" s="19">
        <v>15.1</v>
      </c>
    </row>
    <row r="28" spans="1:5" ht="16.5" customHeight="1" x14ac:dyDescent="0.3">
      <c r="A28" s="17">
        <v>5</v>
      </c>
      <c r="B28" s="18">
        <v>13862605</v>
      </c>
      <c r="C28" s="18">
        <v>162002.5</v>
      </c>
      <c r="D28" s="19">
        <v>1</v>
      </c>
      <c r="E28" s="19">
        <v>15.1</v>
      </c>
    </row>
    <row r="29" spans="1:5" ht="16.5" customHeight="1" x14ac:dyDescent="0.3">
      <c r="A29" s="17">
        <v>6</v>
      </c>
      <c r="B29" s="21">
        <v>13844874</v>
      </c>
      <c r="C29" s="21">
        <v>162693.29999999999</v>
      </c>
      <c r="D29" s="22">
        <v>1</v>
      </c>
      <c r="E29" s="22">
        <v>15.1</v>
      </c>
    </row>
    <row r="30" spans="1:5" ht="16.5" customHeight="1" x14ac:dyDescent="0.3">
      <c r="A30" s="23" t="s">
        <v>16</v>
      </c>
      <c r="B30" s="24">
        <f>AVERAGE(B24:B29)</f>
        <v>13870763</v>
      </c>
      <c r="C30" s="25">
        <v>162321.9</v>
      </c>
      <c r="D30" s="26">
        <v>1</v>
      </c>
      <c r="E30" s="26">
        <f>AVERAGE(E24:E29)</f>
        <v>15.1</v>
      </c>
    </row>
    <row r="31" spans="1:5" ht="16.5" customHeight="1" x14ac:dyDescent="0.3">
      <c r="A31" s="27" t="s">
        <v>17</v>
      </c>
      <c r="B31" s="28">
        <f>(STDEV(B24:B29)/B30)</f>
        <v>1.4515771626561948E-3</v>
      </c>
      <c r="C31" s="29"/>
      <c r="D31" s="29"/>
      <c r="E31" s="30"/>
    </row>
    <row r="32" spans="1:5" s="548" customFormat="1" ht="16.5" customHeight="1" x14ac:dyDescent="0.3">
      <c r="A32" s="31" t="s">
        <v>18</v>
      </c>
      <c r="B32" s="32">
        <f>COUNT(B24:B29)</f>
        <v>6</v>
      </c>
      <c r="C32" s="33"/>
      <c r="D32" s="54"/>
      <c r="E32" s="35"/>
    </row>
    <row r="33" spans="1:5" s="548" customFormat="1" ht="15.75" customHeight="1" x14ac:dyDescent="0.25">
      <c r="A33" s="53"/>
      <c r="B33" s="53"/>
      <c r="C33" s="53"/>
      <c r="D33" s="53"/>
      <c r="E33" s="53"/>
    </row>
    <row r="34" spans="1:5" s="548" customFormat="1" ht="16.5" customHeight="1" x14ac:dyDescent="0.3">
      <c r="A34" s="55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55"/>
      <c r="B35" s="40" t="s">
        <v>21</v>
      </c>
      <c r="C35" s="39"/>
      <c r="D35" s="39"/>
      <c r="E35" s="39"/>
    </row>
    <row r="36" spans="1:5" ht="16.5" customHeight="1" x14ac:dyDescent="0.3">
      <c r="A36" s="55"/>
      <c r="B36" s="40" t="s">
        <v>22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23</v>
      </c>
    </row>
    <row r="39" spans="1:5" ht="16.5" customHeight="1" x14ac:dyDescent="0.3">
      <c r="A39" s="55" t="s">
        <v>4</v>
      </c>
      <c r="B39" s="8" t="s">
        <v>125</v>
      </c>
      <c r="C39" s="53"/>
      <c r="D39" s="53"/>
      <c r="E39" s="53"/>
    </row>
    <row r="40" spans="1:5" ht="16.5" customHeight="1" x14ac:dyDescent="0.3">
      <c r="A40" s="55" t="s">
        <v>6</v>
      </c>
      <c r="B40" s="12">
        <v>98.8</v>
      </c>
      <c r="C40" s="53"/>
      <c r="D40" s="53"/>
      <c r="E40" s="53"/>
    </row>
    <row r="41" spans="1:5" ht="16.5" customHeight="1" x14ac:dyDescent="0.3">
      <c r="A41" s="8" t="s">
        <v>7</v>
      </c>
      <c r="B41" s="12">
        <v>17.149999999999999</v>
      </c>
      <c r="C41" s="53"/>
      <c r="D41" s="53"/>
      <c r="E41" s="53"/>
    </row>
    <row r="42" spans="1:5" ht="16.5" customHeight="1" x14ac:dyDescent="0.3">
      <c r="A42" s="8" t="s">
        <v>9</v>
      </c>
      <c r="B42" s="13">
        <v>0.3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700">
        <v>60229549</v>
      </c>
      <c r="C45" s="700">
        <v>151627.20000000001</v>
      </c>
      <c r="D45" s="702">
        <v>1.1000000000000001</v>
      </c>
      <c r="E45" s="704">
        <v>15.4</v>
      </c>
    </row>
    <row r="46" spans="1:5" ht="16.5" customHeight="1" x14ac:dyDescent="0.3">
      <c r="A46" s="17">
        <v>2</v>
      </c>
      <c r="B46" s="700">
        <v>59735916</v>
      </c>
      <c r="C46" s="700">
        <v>152564.6</v>
      </c>
      <c r="D46" s="702">
        <v>1.1000000000000001</v>
      </c>
      <c r="E46" s="702">
        <v>15.4</v>
      </c>
    </row>
    <row r="47" spans="1:5" ht="16.5" customHeight="1" x14ac:dyDescent="0.3">
      <c r="A47" s="17">
        <v>3</v>
      </c>
      <c r="B47" s="700">
        <v>59683412</v>
      </c>
      <c r="C47" s="700">
        <v>151971.29999999999</v>
      </c>
      <c r="D47" s="702">
        <v>1.1000000000000001</v>
      </c>
      <c r="E47" s="702">
        <v>15.4</v>
      </c>
    </row>
    <row r="48" spans="1:5" ht="16.5" customHeight="1" x14ac:dyDescent="0.3">
      <c r="A48" s="17">
        <v>4</v>
      </c>
      <c r="B48" s="700">
        <v>60364519</v>
      </c>
      <c r="C48" s="700">
        <v>152966.79999999999</v>
      </c>
      <c r="D48" s="702">
        <v>1.1000000000000001</v>
      </c>
      <c r="E48" s="702">
        <v>15.4</v>
      </c>
    </row>
    <row r="49" spans="1:7" ht="16.5" customHeight="1" x14ac:dyDescent="0.3">
      <c r="A49" s="17">
        <v>5</v>
      </c>
      <c r="B49" s="700">
        <v>59843734</v>
      </c>
      <c r="C49" s="700">
        <v>152882.29999999999</v>
      </c>
      <c r="D49" s="702">
        <v>1.1000000000000001</v>
      </c>
      <c r="E49" s="702">
        <v>15.4</v>
      </c>
    </row>
    <row r="50" spans="1:7" ht="16.5" customHeight="1" x14ac:dyDescent="0.3">
      <c r="A50" s="17">
        <v>6</v>
      </c>
      <c r="B50" s="701">
        <v>60643377</v>
      </c>
      <c r="C50" s="701">
        <v>152018.4</v>
      </c>
      <c r="D50" s="703">
        <v>1.1000000000000001</v>
      </c>
      <c r="E50" s="703">
        <v>15.4</v>
      </c>
    </row>
    <row r="51" spans="1:7" ht="16.5" customHeight="1" x14ac:dyDescent="0.3">
      <c r="A51" s="23" t="s">
        <v>16</v>
      </c>
      <c r="B51" s="24">
        <f>AVERAGE(B45:B50)</f>
        <v>60083417.833333336</v>
      </c>
      <c r="C51" s="25">
        <f>AVERAGE(C45:C50)</f>
        <v>152338.43333333332</v>
      </c>
      <c r="D51" s="26">
        <f>AVERAGE(D45:D50)</f>
        <v>1.0999999999999999</v>
      </c>
      <c r="E51" s="26">
        <f>AVERAGE(E45:E50)</f>
        <v>15.4</v>
      </c>
    </row>
    <row r="52" spans="1:7" ht="16.5" customHeight="1" x14ac:dyDescent="0.3">
      <c r="A52" s="27" t="s">
        <v>17</v>
      </c>
      <c r="B52" s="28">
        <f>(STDEV(B45:B50)/B51)</f>
        <v>6.4551871839107367E-3</v>
      </c>
      <c r="C52" s="29"/>
      <c r="D52" s="29"/>
      <c r="E52" s="30"/>
    </row>
    <row r="53" spans="1:7" s="548" customFormat="1" ht="16.5" customHeight="1" x14ac:dyDescent="0.3">
      <c r="A53" s="31" t="s">
        <v>18</v>
      </c>
      <c r="B53" s="32">
        <f>COUNT(B45:B50)</f>
        <v>6</v>
      </c>
      <c r="C53" s="33"/>
      <c r="D53" s="54"/>
      <c r="E53" s="35"/>
    </row>
    <row r="54" spans="1:7" s="548" customFormat="1" ht="15.75" customHeight="1" x14ac:dyDescent="0.25">
      <c r="A54" s="53"/>
      <c r="B54" s="53"/>
      <c r="C54" s="53"/>
      <c r="D54" s="53"/>
      <c r="E54" s="53"/>
    </row>
    <row r="55" spans="1:7" s="548" customFormat="1" ht="16.5" customHeight="1" x14ac:dyDescent="0.3">
      <c r="A55" s="55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55"/>
      <c r="B56" s="40" t="s">
        <v>21</v>
      </c>
      <c r="C56" s="39"/>
      <c r="D56" s="39"/>
      <c r="E56" s="39"/>
    </row>
    <row r="57" spans="1:7" ht="16.5" customHeight="1" x14ac:dyDescent="0.3">
      <c r="A57" s="55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471"/>
      <c r="D58" s="43"/>
      <c r="F58" s="44"/>
      <c r="G58" s="44"/>
    </row>
    <row r="59" spans="1:7" ht="15" customHeight="1" x14ac:dyDescent="0.3">
      <c r="B59" s="604" t="s">
        <v>24</v>
      </c>
      <c r="C59" s="604"/>
      <c r="E59" s="602" t="s">
        <v>25</v>
      </c>
      <c r="F59" s="46"/>
      <c r="G59" s="602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8" workbookViewId="0">
      <selection activeCell="A15" sqref="A15:G61"/>
    </sheetView>
  </sheetViews>
  <sheetFormatPr defaultRowHeight="13.5" x14ac:dyDescent="0.25"/>
  <cols>
    <col min="1" max="1" width="27.5703125" style="548" customWidth="1"/>
    <col min="2" max="2" width="20.42578125" style="548" customWidth="1"/>
    <col min="3" max="3" width="31.85546875" style="548" customWidth="1"/>
    <col min="4" max="4" width="25.85546875" style="548" customWidth="1"/>
    <col min="5" max="5" width="25.7109375" style="548" customWidth="1"/>
    <col min="6" max="6" width="23.140625" style="548" customWidth="1"/>
    <col min="7" max="7" width="28.42578125" style="548" customWidth="1"/>
    <col min="8" max="8" width="21.5703125" style="548" customWidth="1"/>
    <col min="9" max="9" width="9.140625" style="54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03" t="s">
        <v>0</v>
      </c>
      <c r="B15" s="603"/>
      <c r="C15" s="603"/>
      <c r="D15" s="603"/>
      <c r="E15" s="603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12" t="s">
        <v>129</v>
      </c>
      <c r="D17" s="9"/>
      <c r="E17" s="53"/>
    </row>
    <row r="18" spans="1:5" ht="16.5" customHeight="1" x14ac:dyDescent="0.3">
      <c r="A18" s="55" t="s">
        <v>4</v>
      </c>
      <c r="B18" s="8" t="s">
        <v>127</v>
      </c>
      <c r="C18" s="53"/>
      <c r="D18" s="53"/>
      <c r="E18" s="53"/>
    </row>
    <row r="19" spans="1:5" ht="16.5" customHeight="1" x14ac:dyDescent="0.3">
      <c r="A19" s="55" t="s">
        <v>6</v>
      </c>
      <c r="B19" s="12">
        <v>99.3</v>
      </c>
      <c r="C19" s="53"/>
      <c r="D19" s="53"/>
      <c r="E19" s="53"/>
    </row>
    <row r="20" spans="1:5" ht="16.5" customHeight="1" x14ac:dyDescent="0.3">
      <c r="A20" s="8" t="s">
        <v>7</v>
      </c>
      <c r="B20" s="12">
        <v>31.25</v>
      </c>
      <c r="C20" s="53"/>
      <c r="D20" s="53"/>
      <c r="E20" s="53"/>
    </row>
    <row r="21" spans="1:5" ht="16.5" customHeight="1" x14ac:dyDescent="0.3">
      <c r="A21" s="8" t="s">
        <v>9</v>
      </c>
      <c r="B21" s="13">
        <v>0.12</v>
      </c>
      <c r="C21" s="53"/>
      <c r="D21" s="53"/>
      <c r="E21" s="53"/>
    </row>
    <row r="22" spans="1:5" ht="15.75" customHeight="1" x14ac:dyDescent="0.25">
      <c r="A22" s="53"/>
      <c r="B22" s="705">
        <v>42506.481863425928</v>
      </c>
      <c r="C22" s="53"/>
      <c r="D22" s="53"/>
      <c r="E22" s="53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45063273</v>
      </c>
      <c r="C24" s="18">
        <v>143609.20000000001</v>
      </c>
      <c r="D24" s="19">
        <v>1</v>
      </c>
      <c r="E24" s="19">
        <v>21.9</v>
      </c>
    </row>
    <row r="25" spans="1:5" ht="16.5" customHeight="1" x14ac:dyDescent="0.3">
      <c r="A25" s="17">
        <v>2</v>
      </c>
      <c r="B25" s="18">
        <v>45052551</v>
      </c>
      <c r="C25" s="18">
        <v>146877.20000000001</v>
      </c>
      <c r="D25" s="19">
        <v>1</v>
      </c>
      <c r="E25" s="19">
        <v>21.9</v>
      </c>
    </row>
    <row r="26" spans="1:5" ht="16.5" customHeight="1" x14ac:dyDescent="0.3">
      <c r="A26" s="17">
        <v>3</v>
      </c>
      <c r="B26" s="18">
        <v>44987113</v>
      </c>
      <c r="C26" s="18">
        <v>147291.5</v>
      </c>
      <c r="D26" s="19">
        <v>1</v>
      </c>
      <c r="E26" s="19">
        <v>21.9</v>
      </c>
    </row>
    <row r="27" spans="1:5" ht="16.5" customHeight="1" x14ac:dyDescent="0.3">
      <c r="A27" s="17">
        <v>4</v>
      </c>
      <c r="B27" s="18">
        <v>44950886</v>
      </c>
      <c r="C27" s="18">
        <v>145621.5</v>
      </c>
      <c r="D27" s="19">
        <v>1</v>
      </c>
      <c r="E27" s="19">
        <v>21.9</v>
      </c>
    </row>
    <row r="28" spans="1:5" ht="16.5" customHeight="1" x14ac:dyDescent="0.3">
      <c r="A28" s="17">
        <v>5</v>
      </c>
      <c r="B28" s="18">
        <v>44965409</v>
      </c>
      <c r="C28" s="18">
        <v>143764.9</v>
      </c>
      <c r="D28" s="19">
        <v>1</v>
      </c>
      <c r="E28" s="19">
        <v>21.9</v>
      </c>
    </row>
    <row r="29" spans="1:5" ht="16.5" customHeight="1" x14ac:dyDescent="0.3">
      <c r="A29" s="17">
        <v>6</v>
      </c>
      <c r="B29" s="21">
        <v>44881110</v>
      </c>
      <c r="C29" s="21">
        <v>144683.4</v>
      </c>
      <c r="D29" s="22">
        <v>1</v>
      </c>
      <c r="E29" s="22">
        <v>21.9</v>
      </c>
    </row>
    <row r="30" spans="1:5" ht="16.5" customHeight="1" x14ac:dyDescent="0.3">
      <c r="A30" s="23" t="s">
        <v>16</v>
      </c>
      <c r="B30" s="24">
        <f>AVERAGE(B24:B29)</f>
        <v>44983390.333333336</v>
      </c>
      <c r="C30" s="25">
        <v>162321.9</v>
      </c>
      <c r="D30" s="26">
        <v>1</v>
      </c>
      <c r="E30" s="26">
        <f>AVERAGE(E24:E29)</f>
        <v>21.900000000000002</v>
      </c>
    </row>
    <row r="31" spans="1:5" ht="16.5" customHeight="1" x14ac:dyDescent="0.3">
      <c r="A31" s="27" t="s">
        <v>17</v>
      </c>
      <c r="B31" s="28">
        <f>(STDEV(B24:B29)/B30)</f>
        <v>1.5083774501247055E-3</v>
      </c>
      <c r="C31" s="29"/>
      <c r="D31" s="29"/>
      <c r="E31" s="30"/>
    </row>
    <row r="32" spans="1:5" s="548" customFormat="1" ht="16.5" customHeight="1" x14ac:dyDescent="0.3">
      <c r="A32" s="31" t="s">
        <v>18</v>
      </c>
      <c r="B32" s="32">
        <f>COUNT(B24:B29)</f>
        <v>6</v>
      </c>
      <c r="C32" s="33"/>
      <c r="D32" s="54"/>
      <c r="E32" s="35"/>
    </row>
    <row r="33" spans="1:5" s="548" customFormat="1" ht="15.75" customHeight="1" x14ac:dyDescent="0.25">
      <c r="A33" s="53"/>
      <c r="B33" s="53"/>
      <c r="C33" s="53"/>
      <c r="D33" s="53"/>
      <c r="E33" s="53"/>
    </row>
    <row r="34" spans="1:5" s="548" customFormat="1" ht="16.5" customHeight="1" x14ac:dyDescent="0.3">
      <c r="A34" s="55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55"/>
      <c r="B35" s="40" t="s">
        <v>21</v>
      </c>
      <c r="C35" s="39"/>
      <c r="D35" s="39"/>
      <c r="E35" s="39"/>
    </row>
    <row r="36" spans="1:5" ht="16.5" customHeight="1" x14ac:dyDescent="0.3">
      <c r="A36" s="55"/>
      <c r="B36" s="40" t="s">
        <v>22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23</v>
      </c>
    </row>
    <row r="39" spans="1:5" ht="16.5" customHeight="1" x14ac:dyDescent="0.3">
      <c r="A39" s="55" t="s">
        <v>4</v>
      </c>
      <c r="B39" s="8" t="s">
        <v>127</v>
      </c>
      <c r="C39" s="53"/>
      <c r="D39" s="53"/>
      <c r="E39" s="53"/>
    </row>
    <row r="40" spans="1:5" ht="16.5" customHeight="1" x14ac:dyDescent="0.3">
      <c r="A40" s="55" t="s">
        <v>6</v>
      </c>
      <c r="B40" s="12">
        <v>99.3</v>
      </c>
      <c r="C40" s="53"/>
      <c r="D40" s="53"/>
      <c r="E40" s="53"/>
    </row>
    <row r="41" spans="1:5" ht="16.5" customHeight="1" x14ac:dyDescent="0.3">
      <c r="A41" s="8" t="s">
        <v>7</v>
      </c>
      <c r="B41" s="12">
        <v>31.25</v>
      </c>
      <c r="C41" s="53"/>
      <c r="D41" s="53"/>
      <c r="E41" s="53"/>
    </row>
    <row r="42" spans="1:5" ht="16.5" customHeight="1" x14ac:dyDescent="0.3">
      <c r="A42" s="8" t="s">
        <v>9</v>
      </c>
      <c r="B42" s="13">
        <v>0.6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700">
        <v>207621354</v>
      </c>
      <c r="C45" s="700">
        <v>149452.29999999999</v>
      </c>
      <c r="D45" s="702">
        <v>1.1000000000000001</v>
      </c>
      <c r="E45" s="704">
        <v>21.9</v>
      </c>
    </row>
    <row r="46" spans="1:5" ht="16.5" customHeight="1" x14ac:dyDescent="0.3">
      <c r="A46" s="17">
        <v>2</v>
      </c>
      <c r="B46" s="700">
        <v>205863576</v>
      </c>
      <c r="C46" s="700">
        <v>149583</v>
      </c>
      <c r="D46" s="702">
        <v>1.1000000000000001</v>
      </c>
      <c r="E46" s="702">
        <v>21.9</v>
      </c>
    </row>
    <row r="47" spans="1:5" ht="16.5" customHeight="1" x14ac:dyDescent="0.3">
      <c r="A47" s="17">
        <v>3</v>
      </c>
      <c r="B47" s="700">
        <v>205902926</v>
      </c>
      <c r="C47" s="700">
        <v>150778</v>
      </c>
      <c r="D47" s="702">
        <v>1</v>
      </c>
      <c r="E47" s="702">
        <v>21.9</v>
      </c>
    </row>
    <row r="48" spans="1:5" ht="16.5" customHeight="1" x14ac:dyDescent="0.3">
      <c r="A48" s="17">
        <v>4</v>
      </c>
      <c r="B48" s="700">
        <v>205200410</v>
      </c>
      <c r="C48" s="700">
        <v>149223.5</v>
      </c>
      <c r="D48" s="702">
        <v>1</v>
      </c>
      <c r="E48" s="702">
        <v>21.9</v>
      </c>
    </row>
    <row r="49" spans="1:7" ht="16.5" customHeight="1" x14ac:dyDescent="0.3">
      <c r="A49" s="17">
        <v>5</v>
      </c>
      <c r="B49" s="700">
        <v>205335426</v>
      </c>
      <c r="C49" s="700">
        <v>149261.79999999999</v>
      </c>
      <c r="D49" s="702">
        <v>1.1000000000000001</v>
      </c>
      <c r="E49" s="702">
        <v>21.9</v>
      </c>
    </row>
    <row r="50" spans="1:7" ht="16.5" customHeight="1" x14ac:dyDescent="0.3">
      <c r="A50" s="17">
        <v>6</v>
      </c>
      <c r="B50" s="701">
        <v>205123804</v>
      </c>
      <c r="C50" s="701">
        <v>148688</v>
      </c>
      <c r="D50" s="703">
        <v>1.1000000000000001</v>
      </c>
      <c r="E50" s="703">
        <v>21.9</v>
      </c>
    </row>
    <row r="51" spans="1:7" ht="16.5" customHeight="1" x14ac:dyDescent="0.3">
      <c r="A51" s="23" t="s">
        <v>16</v>
      </c>
      <c r="B51" s="24">
        <f>AVERAGE(B45:B50)</f>
        <v>205841249.33333334</v>
      </c>
      <c r="C51" s="25">
        <f>AVERAGE(C45:C50)</f>
        <v>149497.76666666669</v>
      </c>
      <c r="D51" s="26">
        <f>AVERAGE(D45:D50)</f>
        <v>1.0666666666666667</v>
      </c>
      <c r="E51" s="26">
        <f>AVERAGE(E45:E50)</f>
        <v>21.900000000000002</v>
      </c>
    </row>
    <row r="52" spans="1:7" ht="16.5" customHeight="1" x14ac:dyDescent="0.3">
      <c r="A52" s="27" t="s">
        <v>17</v>
      </c>
      <c r="B52" s="28">
        <f>(STDEV(B45:B50)/B51)</f>
        <v>4.5336033311896215E-3</v>
      </c>
      <c r="C52" s="29"/>
      <c r="D52" s="29"/>
      <c r="E52" s="30"/>
    </row>
    <row r="53" spans="1:7" s="548" customFormat="1" ht="16.5" customHeight="1" x14ac:dyDescent="0.3">
      <c r="A53" s="31" t="s">
        <v>18</v>
      </c>
      <c r="B53" s="32">
        <f>COUNT(B45:B50)</f>
        <v>6</v>
      </c>
      <c r="C53" s="33"/>
      <c r="D53" s="54"/>
      <c r="E53" s="35"/>
    </row>
    <row r="54" spans="1:7" s="548" customFormat="1" ht="15.75" customHeight="1" x14ac:dyDescent="0.25">
      <c r="A54" s="53"/>
      <c r="B54" s="53"/>
      <c r="C54" s="53"/>
      <c r="D54" s="53"/>
      <c r="E54" s="53"/>
    </row>
    <row r="55" spans="1:7" s="548" customFormat="1" ht="16.5" customHeight="1" x14ac:dyDescent="0.3">
      <c r="A55" s="55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55"/>
      <c r="B56" s="40" t="s">
        <v>21</v>
      </c>
      <c r="C56" s="39"/>
      <c r="D56" s="39"/>
      <c r="E56" s="39"/>
    </row>
    <row r="57" spans="1:7" ht="16.5" customHeight="1" x14ac:dyDescent="0.3">
      <c r="A57" s="55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471"/>
      <c r="D58" s="43"/>
      <c r="F58" s="44"/>
      <c r="G58" s="44"/>
    </row>
    <row r="59" spans="1:7" ht="15" customHeight="1" x14ac:dyDescent="0.3">
      <c r="B59" s="604" t="s">
        <v>24</v>
      </c>
      <c r="C59" s="604"/>
      <c r="E59" s="602" t="s">
        <v>25</v>
      </c>
      <c r="F59" s="46"/>
      <c r="G59" s="602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10" workbookViewId="0">
      <selection activeCell="A12" sqref="A12:F54"/>
    </sheetView>
  </sheetViews>
  <sheetFormatPr defaultRowHeight="15" x14ac:dyDescent="0.3"/>
  <cols>
    <col min="1" max="1" width="15.5703125" style="644" customWidth="1"/>
    <col min="2" max="2" width="18.42578125" style="644" customWidth="1"/>
    <col min="3" max="3" width="14.28515625" style="644" customWidth="1"/>
    <col min="4" max="4" width="15" style="644" customWidth="1"/>
    <col min="5" max="5" width="9.140625" style="644" customWidth="1"/>
    <col min="6" max="6" width="27.85546875" style="644" customWidth="1"/>
    <col min="7" max="7" width="12.28515625" style="644" customWidth="1"/>
    <col min="8" max="8" width="9.140625" style="644" customWidth="1"/>
    <col min="9" max="16384" width="9.140625" style="645"/>
  </cols>
  <sheetData>
    <row r="10" spans="1:7" ht="13.5" customHeight="1" thickBot="1" x14ac:dyDescent="0.35"/>
    <row r="11" spans="1:7" ht="13.5" customHeight="1" thickBot="1" x14ac:dyDescent="0.35">
      <c r="A11" s="646" t="s">
        <v>29</v>
      </c>
      <c r="B11" s="647"/>
      <c r="C11" s="647"/>
      <c r="D11" s="647"/>
      <c r="E11" s="647"/>
      <c r="F11" s="648"/>
      <c r="G11" s="649"/>
    </row>
    <row r="12" spans="1:7" ht="16.5" customHeight="1" x14ac:dyDescent="0.3">
      <c r="A12" s="650" t="s">
        <v>30</v>
      </c>
      <c r="B12" s="650"/>
      <c r="C12" s="650"/>
      <c r="D12" s="650"/>
      <c r="E12" s="650"/>
      <c r="F12" s="650"/>
      <c r="G12" s="651"/>
    </row>
    <row r="14" spans="1:7" ht="16.5" customHeight="1" x14ac:dyDescent="0.3">
      <c r="A14" s="652" t="s">
        <v>31</v>
      </c>
      <c r="B14" s="652"/>
      <c r="C14" s="653" t="s">
        <v>5</v>
      </c>
    </row>
    <row r="15" spans="1:7" ht="16.5" customHeight="1" x14ac:dyDescent="0.3">
      <c r="A15" s="652" t="s">
        <v>32</v>
      </c>
      <c r="B15" s="652"/>
      <c r="C15" s="653" t="s">
        <v>129</v>
      </c>
    </row>
    <row r="16" spans="1:7" ht="16.5" customHeight="1" x14ac:dyDescent="0.3">
      <c r="A16" s="652" t="s">
        <v>33</v>
      </c>
      <c r="B16" s="652"/>
      <c r="C16" s="653" t="s">
        <v>8</v>
      </c>
    </row>
    <row r="17" spans="1:5" ht="16.5" customHeight="1" x14ac:dyDescent="0.3">
      <c r="A17" s="652" t="s">
        <v>34</v>
      </c>
      <c r="B17" s="652"/>
      <c r="C17" s="653" t="s">
        <v>10</v>
      </c>
    </row>
    <row r="18" spans="1:5" ht="16.5" customHeight="1" x14ac:dyDescent="0.3">
      <c r="A18" s="652" t="s">
        <v>35</v>
      </c>
      <c r="B18" s="652"/>
      <c r="C18" s="654" t="s">
        <v>130</v>
      </c>
    </row>
    <row r="19" spans="1:5" ht="16.5" customHeight="1" x14ac:dyDescent="0.3">
      <c r="A19" s="652" t="s">
        <v>36</v>
      </c>
      <c r="B19" s="652"/>
      <c r="C19" s="654" t="e">
        <f>#REF!</f>
        <v>#REF!</v>
      </c>
    </row>
    <row r="20" spans="1:5" ht="16.5" customHeight="1" x14ac:dyDescent="0.3">
      <c r="A20" s="655"/>
      <c r="B20" s="655"/>
      <c r="C20" s="656"/>
    </row>
    <row r="21" spans="1:5" ht="16.5" customHeight="1" x14ac:dyDescent="0.3">
      <c r="A21" s="650" t="s">
        <v>1</v>
      </c>
      <c r="B21" s="650"/>
      <c r="C21" s="657" t="s">
        <v>37</v>
      </c>
      <c r="D21" s="658"/>
    </row>
    <row r="22" spans="1:5" ht="15.75" customHeight="1" thickBot="1" x14ac:dyDescent="0.35">
      <c r="A22" s="659"/>
      <c r="B22" s="659"/>
      <c r="C22" s="660"/>
      <c r="D22" s="659"/>
      <c r="E22" s="659"/>
    </row>
    <row r="23" spans="1:5" ht="33.75" customHeight="1" thickBot="1" x14ac:dyDescent="0.35">
      <c r="C23" s="661" t="s">
        <v>38</v>
      </c>
      <c r="D23" s="662" t="s">
        <v>39</v>
      </c>
      <c r="E23" s="663"/>
    </row>
    <row r="24" spans="1:5" ht="15.75" customHeight="1" x14ac:dyDescent="0.3">
      <c r="C24" s="664">
        <v>1746.68</v>
      </c>
      <c r="D24" s="665">
        <f t="shared" ref="D24:D43" si="0">(C24-$C$46)/$C$46</f>
        <v>-1.3055815787897516E-2</v>
      </c>
      <c r="E24" s="666"/>
    </row>
    <row r="25" spans="1:5" ht="15.75" customHeight="1" x14ac:dyDescent="0.3">
      <c r="C25" s="664">
        <v>1765.53</v>
      </c>
      <c r="D25" s="667">
        <f t="shared" si="0"/>
        <v>-2.4048105251143841E-3</v>
      </c>
      <c r="E25" s="666"/>
    </row>
    <row r="26" spans="1:5" ht="15.75" customHeight="1" x14ac:dyDescent="0.3">
      <c r="C26" s="664">
        <v>1780.91</v>
      </c>
      <c r="D26" s="667">
        <f t="shared" si="0"/>
        <v>6.2855057052095698E-3</v>
      </c>
      <c r="E26" s="666"/>
    </row>
    <row r="27" spans="1:5" ht="15.75" customHeight="1" x14ac:dyDescent="0.3">
      <c r="C27" s="664">
        <v>1753.66</v>
      </c>
      <c r="D27" s="667">
        <f t="shared" si="0"/>
        <v>-9.1118361202992774E-3</v>
      </c>
      <c r="E27" s="666"/>
    </row>
    <row r="28" spans="1:5" ht="15.75" customHeight="1" x14ac:dyDescent="0.3">
      <c r="C28" s="664">
        <v>1762.48</v>
      </c>
      <c r="D28" s="667">
        <f t="shared" si="0"/>
        <v>-4.1281827294373666E-3</v>
      </c>
      <c r="E28" s="666"/>
    </row>
    <row r="29" spans="1:5" ht="15.75" customHeight="1" x14ac:dyDescent="0.3">
      <c r="C29" s="664">
        <v>1781.42</v>
      </c>
      <c r="D29" s="667">
        <f t="shared" si="0"/>
        <v>6.5736761393750511E-3</v>
      </c>
      <c r="E29" s="666"/>
    </row>
    <row r="30" spans="1:5" ht="15.75" customHeight="1" x14ac:dyDescent="0.3">
      <c r="C30" s="664">
        <v>1762.71</v>
      </c>
      <c r="D30" s="667">
        <f t="shared" si="0"/>
        <v>-3.9982235140293924E-3</v>
      </c>
      <c r="E30" s="666"/>
    </row>
    <row r="31" spans="1:5" ht="15.75" customHeight="1" x14ac:dyDescent="0.3">
      <c r="C31" s="664">
        <v>1772.86</v>
      </c>
      <c r="D31" s="667">
        <f t="shared" si="0"/>
        <v>1.7369331659307066E-3</v>
      </c>
      <c r="E31" s="666"/>
    </row>
    <row r="32" spans="1:5" ht="15.75" customHeight="1" x14ac:dyDescent="0.3">
      <c r="C32" s="664">
        <v>1781.88</v>
      </c>
      <c r="D32" s="667">
        <f t="shared" si="0"/>
        <v>6.8335945701910004E-3</v>
      </c>
      <c r="E32" s="666"/>
    </row>
    <row r="33" spans="1:7" ht="15.75" customHeight="1" x14ac:dyDescent="0.3">
      <c r="C33" s="664">
        <v>1785.9</v>
      </c>
      <c r="D33" s="667">
        <f t="shared" si="0"/>
        <v>9.105055639495414E-3</v>
      </c>
      <c r="E33" s="666"/>
    </row>
    <row r="34" spans="1:7" ht="15.75" customHeight="1" x14ac:dyDescent="0.3">
      <c r="C34" s="664">
        <v>1773.98</v>
      </c>
      <c r="D34" s="667">
        <f t="shared" si="0"/>
        <v>2.3697780409608618E-3</v>
      </c>
      <c r="E34" s="666"/>
    </row>
    <row r="35" spans="1:7" ht="15.75" customHeight="1" x14ac:dyDescent="0.3">
      <c r="C35" s="664">
        <v>1781.44</v>
      </c>
      <c r="D35" s="667">
        <f t="shared" si="0"/>
        <v>6.5849769407148638E-3</v>
      </c>
      <c r="E35" s="666"/>
    </row>
    <row r="36" spans="1:7" ht="15.75" customHeight="1" x14ac:dyDescent="0.3">
      <c r="C36" s="664">
        <v>1744.36</v>
      </c>
      <c r="D36" s="667">
        <f t="shared" si="0"/>
        <v>-1.4366708743317077E-2</v>
      </c>
      <c r="E36" s="666"/>
    </row>
    <row r="37" spans="1:7" ht="15.75" customHeight="1" x14ac:dyDescent="0.3">
      <c r="C37" s="664">
        <v>1771.76</v>
      </c>
      <c r="D37" s="667">
        <f t="shared" si="0"/>
        <v>1.1153890922404926E-3</v>
      </c>
      <c r="E37" s="666"/>
    </row>
    <row r="38" spans="1:7" ht="15.75" customHeight="1" x14ac:dyDescent="0.3">
      <c r="C38" s="664">
        <v>1761.27</v>
      </c>
      <c r="D38" s="667">
        <f t="shared" si="0"/>
        <v>-4.8118812104966796E-3</v>
      </c>
      <c r="E38" s="666"/>
    </row>
    <row r="39" spans="1:7" ht="15.75" customHeight="1" x14ac:dyDescent="0.3">
      <c r="C39" s="664">
        <v>1768.96</v>
      </c>
      <c r="D39" s="667">
        <f t="shared" si="0"/>
        <v>-4.6672309533470248E-4</v>
      </c>
      <c r="E39" s="666"/>
    </row>
    <row r="40" spans="1:7" ht="15.75" customHeight="1" x14ac:dyDescent="0.3">
      <c r="C40" s="664">
        <v>1784.29</v>
      </c>
      <c r="D40" s="667">
        <f t="shared" si="0"/>
        <v>8.1953411316395917E-3</v>
      </c>
      <c r="E40" s="666"/>
    </row>
    <row r="41" spans="1:7" ht="15.75" customHeight="1" x14ac:dyDescent="0.3">
      <c r="C41" s="664">
        <v>1769.96</v>
      </c>
      <c r="D41" s="667">
        <f t="shared" si="0"/>
        <v>9.8316971656447818E-5</v>
      </c>
      <c r="E41" s="666"/>
    </row>
    <row r="42" spans="1:7" ht="15.75" customHeight="1" x14ac:dyDescent="0.3">
      <c r="C42" s="664">
        <v>1773.82</v>
      </c>
      <c r="D42" s="667">
        <f t="shared" si="0"/>
        <v>2.2793716302422318E-3</v>
      </c>
      <c r="E42" s="666"/>
    </row>
    <row r="43" spans="1:7" ht="16.5" customHeight="1" thickBot="1" x14ac:dyDescent="0.35">
      <c r="C43" s="668">
        <v>1771.85</v>
      </c>
      <c r="D43" s="669">
        <f t="shared" si="0"/>
        <v>1.1662426982696501E-3</v>
      </c>
      <c r="E43" s="666"/>
    </row>
    <row r="44" spans="1:7" ht="16.5" customHeight="1" thickBot="1" x14ac:dyDescent="0.35">
      <c r="C44" s="670"/>
      <c r="D44" s="666"/>
      <c r="E44" s="671"/>
    </row>
    <row r="45" spans="1:7" ht="16.5" customHeight="1" thickBot="1" x14ac:dyDescent="0.35">
      <c r="B45" s="672" t="s">
        <v>40</v>
      </c>
      <c r="C45" s="673">
        <f>SUM(C24:C44)</f>
        <v>35395.72</v>
      </c>
      <c r="D45" s="674"/>
      <c r="E45" s="670"/>
    </row>
    <row r="46" spans="1:7" ht="17.25" customHeight="1" thickBot="1" x14ac:dyDescent="0.35">
      <c r="B46" s="672" t="s">
        <v>41</v>
      </c>
      <c r="C46" s="675">
        <f>AVERAGE(C24:C44)</f>
        <v>1769.7860000000001</v>
      </c>
      <c r="E46" s="676"/>
    </row>
    <row r="47" spans="1:7" ht="17.25" customHeight="1" thickBot="1" x14ac:dyDescent="0.35">
      <c r="A47" s="653"/>
      <c r="B47" s="677"/>
      <c r="D47" s="678"/>
      <c r="E47" s="676"/>
    </row>
    <row r="48" spans="1:7" ht="33.75" customHeight="1" thickBot="1" x14ac:dyDescent="0.35">
      <c r="B48" s="679" t="s">
        <v>41</v>
      </c>
      <c r="C48" s="662" t="s">
        <v>42</v>
      </c>
      <c r="D48" s="680"/>
      <c r="G48" s="678"/>
    </row>
    <row r="49" spans="1:6" ht="17.25" customHeight="1" thickBot="1" x14ac:dyDescent="0.35">
      <c r="B49" s="681">
        <f>C46</f>
        <v>1769.7860000000001</v>
      </c>
      <c r="C49" s="682">
        <f>-IF(C46&lt;=80,10%,IF(C46&lt;250,7.5%,5%))</f>
        <v>-0.05</v>
      </c>
      <c r="D49" s="683">
        <f>IF(C46&lt;=80,C46*0.9,IF(C46&lt;250,C46*0.925,C46*0.95))</f>
        <v>1681.2966999999999</v>
      </c>
    </row>
    <row r="50" spans="1:6" ht="17.25" customHeight="1" thickBot="1" x14ac:dyDescent="0.35">
      <c r="B50" s="684"/>
      <c r="C50" s="685">
        <f>IF(C46&lt;=80, 10%, IF(C46&lt;250, 7.5%, 5%))</f>
        <v>0.05</v>
      </c>
      <c r="D50" s="683">
        <f>IF(C46&lt;=80, C46*1.1, IF(C46&lt;250, C46*1.075, C46*1.05))</f>
        <v>1858.2753000000002</v>
      </c>
    </row>
    <row r="51" spans="1:6" ht="16.5" customHeight="1" thickBot="1" x14ac:dyDescent="0.35">
      <c r="A51" s="686"/>
      <c r="B51" s="687"/>
      <c r="C51" s="653"/>
      <c r="D51" s="688"/>
      <c r="E51" s="653"/>
      <c r="F51" s="658"/>
    </row>
    <row r="52" spans="1:6" ht="16.5" customHeight="1" x14ac:dyDescent="0.3">
      <c r="A52" s="653"/>
      <c r="B52" s="689" t="s">
        <v>24</v>
      </c>
      <c r="C52" s="689"/>
      <c r="D52" s="690" t="s">
        <v>25</v>
      </c>
      <c r="E52" s="691"/>
      <c r="F52" s="690" t="s">
        <v>26</v>
      </c>
    </row>
    <row r="53" spans="1:6" ht="34.5" customHeight="1" x14ac:dyDescent="0.3">
      <c r="A53" s="655" t="s">
        <v>27</v>
      </c>
      <c r="B53" s="692"/>
      <c r="C53" s="653"/>
      <c r="D53" s="692"/>
      <c r="E53" s="653"/>
      <c r="F53" s="692"/>
    </row>
    <row r="54" spans="1:6" ht="34.5" customHeight="1" x14ac:dyDescent="0.3">
      <c r="A54" s="655" t="s">
        <v>28</v>
      </c>
      <c r="B54" s="693"/>
      <c r="C54" s="694"/>
      <c r="D54" s="693"/>
      <c r="E54" s="653"/>
      <c r="F54" s="695"/>
    </row>
  </sheetData>
  <sheetProtection password="9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22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3" t="s">
        <v>43</v>
      </c>
      <c r="B1" s="633"/>
      <c r="C1" s="633"/>
      <c r="D1" s="633"/>
      <c r="E1" s="633"/>
      <c r="F1" s="633"/>
      <c r="G1" s="633"/>
      <c r="H1" s="633"/>
      <c r="I1" s="633"/>
    </row>
    <row r="2" spans="1:9" ht="18.75" customHeight="1" x14ac:dyDescent="0.25">
      <c r="A2" s="633"/>
      <c r="B2" s="633"/>
      <c r="C2" s="633"/>
      <c r="D2" s="633"/>
      <c r="E2" s="633"/>
      <c r="F2" s="633"/>
      <c r="G2" s="633"/>
      <c r="H2" s="633"/>
      <c r="I2" s="633"/>
    </row>
    <row r="3" spans="1:9" ht="18.75" customHeight="1" x14ac:dyDescent="0.25">
      <c r="A3" s="633"/>
      <c r="B3" s="633"/>
      <c r="C3" s="633"/>
      <c r="D3" s="633"/>
      <c r="E3" s="633"/>
      <c r="F3" s="633"/>
      <c r="G3" s="633"/>
      <c r="H3" s="633"/>
      <c r="I3" s="633"/>
    </row>
    <row r="4" spans="1:9" ht="18.75" customHeight="1" x14ac:dyDescent="0.25">
      <c r="A4" s="633"/>
      <c r="B4" s="633"/>
      <c r="C4" s="633"/>
      <c r="D4" s="633"/>
      <c r="E4" s="633"/>
      <c r="F4" s="633"/>
      <c r="G4" s="633"/>
      <c r="H4" s="633"/>
      <c r="I4" s="633"/>
    </row>
    <row r="5" spans="1:9" ht="18.75" customHeight="1" x14ac:dyDescent="0.25">
      <c r="A5" s="633"/>
      <c r="B5" s="633"/>
      <c r="C5" s="633"/>
      <c r="D5" s="633"/>
      <c r="E5" s="633"/>
      <c r="F5" s="633"/>
      <c r="G5" s="633"/>
      <c r="H5" s="633"/>
      <c r="I5" s="633"/>
    </row>
    <row r="6" spans="1:9" ht="18.75" customHeight="1" x14ac:dyDescent="0.25">
      <c r="A6" s="633"/>
      <c r="B6" s="633"/>
      <c r="C6" s="633"/>
      <c r="D6" s="633"/>
      <c r="E6" s="633"/>
      <c r="F6" s="633"/>
      <c r="G6" s="633"/>
      <c r="H6" s="633"/>
      <c r="I6" s="633"/>
    </row>
    <row r="7" spans="1:9" ht="18.75" customHeight="1" x14ac:dyDescent="0.25">
      <c r="A7" s="633"/>
      <c r="B7" s="633"/>
      <c r="C7" s="633"/>
      <c r="D7" s="633"/>
      <c r="E7" s="633"/>
      <c r="F7" s="633"/>
      <c r="G7" s="633"/>
      <c r="H7" s="633"/>
      <c r="I7" s="633"/>
    </row>
    <row r="8" spans="1:9" x14ac:dyDescent="0.25">
      <c r="A8" s="634" t="s">
        <v>44</v>
      </c>
      <c r="B8" s="634"/>
      <c r="C8" s="634"/>
      <c r="D8" s="634"/>
      <c r="E8" s="634"/>
      <c r="F8" s="634"/>
      <c r="G8" s="634"/>
      <c r="H8" s="634"/>
      <c r="I8" s="634"/>
    </row>
    <row r="9" spans="1:9" x14ac:dyDescent="0.25">
      <c r="A9" s="634"/>
      <c r="B9" s="634"/>
      <c r="C9" s="634"/>
      <c r="D9" s="634"/>
      <c r="E9" s="634"/>
      <c r="F9" s="634"/>
      <c r="G9" s="634"/>
      <c r="H9" s="634"/>
      <c r="I9" s="634"/>
    </row>
    <row r="10" spans="1:9" x14ac:dyDescent="0.25">
      <c r="A10" s="634"/>
      <c r="B10" s="634"/>
      <c r="C10" s="634"/>
      <c r="D10" s="634"/>
      <c r="E10" s="634"/>
      <c r="F10" s="634"/>
      <c r="G10" s="634"/>
      <c r="H10" s="634"/>
      <c r="I10" s="634"/>
    </row>
    <row r="11" spans="1:9" x14ac:dyDescent="0.25">
      <c r="A11" s="634"/>
      <c r="B11" s="634"/>
      <c r="C11" s="634"/>
      <c r="D11" s="634"/>
      <c r="E11" s="634"/>
      <c r="F11" s="634"/>
      <c r="G11" s="634"/>
      <c r="H11" s="634"/>
      <c r="I11" s="634"/>
    </row>
    <row r="12" spans="1:9" x14ac:dyDescent="0.25">
      <c r="A12" s="634"/>
      <c r="B12" s="634"/>
      <c r="C12" s="634"/>
      <c r="D12" s="634"/>
      <c r="E12" s="634"/>
      <c r="F12" s="634"/>
      <c r="G12" s="634"/>
      <c r="H12" s="634"/>
      <c r="I12" s="634"/>
    </row>
    <row r="13" spans="1:9" x14ac:dyDescent="0.25">
      <c r="A13" s="634"/>
      <c r="B13" s="634"/>
      <c r="C13" s="634"/>
      <c r="D13" s="634"/>
      <c r="E13" s="634"/>
      <c r="F13" s="634"/>
      <c r="G13" s="634"/>
      <c r="H13" s="634"/>
      <c r="I13" s="634"/>
    </row>
    <row r="14" spans="1:9" x14ac:dyDescent="0.25">
      <c r="A14" s="634"/>
      <c r="B14" s="634"/>
      <c r="C14" s="634"/>
      <c r="D14" s="634"/>
      <c r="E14" s="634"/>
      <c r="F14" s="634"/>
      <c r="G14" s="634"/>
      <c r="H14" s="634"/>
      <c r="I14" s="634"/>
    </row>
    <row r="15" spans="1:9" ht="19.5" customHeight="1" x14ac:dyDescent="0.3">
      <c r="A15" s="57"/>
    </row>
    <row r="16" spans="1:9" ht="19.5" customHeight="1" x14ac:dyDescent="0.3">
      <c r="A16" s="606" t="s">
        <v>29</v>
      </c>
      <c r="B16" s="607"/>
      <c r="C16" s="607"/>
      <c r="D16" s="607"/>
      <c r="E16" s="607"/>
      <c r="F16" s="607"/>
      <c r="G16" s="607"/>
      <c r="H16" s="608"/>
    </row>
    <row r="17" spans="1:14" ht="20.25" customHeight="1" x14ac:dyDescent="0.25">
      <c r="A17" s="609" t="s">
        <v>45</v>
      </c>
      <c r="B17" s="609"/>
      <c r="C17" s="609"/>
      <c r="D17" s="609"/>
      <c r="E17" s="609"/>
      <c r="F17" s="609"/>
      <c r="G17" s="609"/>
      <c r="H17" s="609"/>
    </row>
    <row r="18" spans="1:14" ht="26.25" customHeight="1" x14ac:dyDescent="0.4">
      <c r="A18" s="59" t="s">
        <v>31</v>
      </c>
      <c r="B18" s="605" t="s">
        <v>5</v>
      </c>
      <c r="C18" s="605"/>
      <c r="D18" s="224"/>
      <c r="E18" s="60"/>
      <c r="F18" s="61"/>
      <c r="G18" s="61"/>
      <c r="H18" s="61"/>
    </row>
    <row r="19" spans="1:14" ht="26.25" customHeight="1" x14ac:dyDescent="0.4">
      <c r="A19" s="59" t="s">
        <v>32</v>
      </c>
      <c r="B19" s="62" t="s">
        <v>129</v>
      </c>
      <c r="C19" s="237">
        <v>29</v>
      </c>
      <c r="D19" s="61"/>
      <c r="E19" s="61"/>
      <c r="F19" s="61"/>
      <c r="G19" s="61"/>
      <c r="H19" s="61"/>
    </row>
    <row r="20" spans="1:14" ht="26.25" customHeight="1" x14ac:dyDescent="0.4">
      <c r="A20" s="59" t="s">
        <v>33</v>
      </c>
      <c r="B20" s="610" t="s">
        <v>8</v>
      </c>
      <c r="C20" s="610"/>
      <c r="D20" s="61"/>
      <c r="E20" s="61"/>
      <c r="F20" s="61"/>
      <c r="G20" s="61"/>
      <c r="H20" s="61"/>
    </row>
    <row r="21" spans="1:14" ht="26.25" customHeight="1" x14ac:dyDescent="0.4">
      <c r="A21" s="59" t="s">
        <v>34</v>
      </c>
      <c r="B21" s="610" t="s">
        <v>10</v>
      </c>
      <c r="C21" s="610"/>
      <c r="D21" s="610"/>
      <c r="E21" s="610"/>
      <c r="F21" s="610"/>
      <c r="G21" s="610"/>
      <c r="H21" s="610"/>
      <c r="I21" s="63"/>
    </row>
    <row r="22" spans="1:14" ht="26.25" customHeight="1" x14ac:dyDescent="0.4">
      <c r="A22" s="59" t="s">
        <v>35</v>
      </c>
      <c r="B22" s="706">
        <v>42506.469143518516</v>
      </c>
      <c r="C22" s="61"/>
      <c r="D22" s="61"/>
      <c r="E22" s="61"/>
      <c r="F22" s="61"/>
      <c r="G22" s="61"/>
      <c r="H22" s="61"/>
    </row>
    <row r="23" spans="1:14" ht="26.25" customHeight="1" x14ac:dyDescent="0.4">
      <c r="A23" s="59" t="s">
        <v>36</v>
      </c>
      <c r="B23" s="706">
        <v>42510.469143518516</v>
      </c>
      <c r="C23" s="61"/>
      <c r="D23" s="61"/>
      <c r="E23" s="61"/>
      <c r="F23" s="61"/>
      <c r="G23" s="61"/>
      <c r="H23" s="61"/>
    </row>
    <row r="24" spans="1:14" ht="18.75" x14ac:dyDescent="0.3">
      <c r="A24" s="59"/>
      <c r="B24" s="64"/>
    </row>
    <row r="25" spans="1:14" ht="18.75" x14ac:dyDescent="0.3">
      <c r="A25" s="65" t="s">
        <v>1</v>
      </c>
      <c r="B25" s="64"/>
    </row>
    <row r="26" spans="1:14" ht="26.25" customHeight="1" x14ac:dyDescent="0.4">
      <c r="A26" s="66" t="s">
        <v>4</v>
      </c>
      <c r="B26" s="605" t="s">
        <v>123</v>
      </c>
      <c r="C26" s="605"/>
    </row>
    <row r="27" spans="1:14" ht="26.25" customHeight="1" x14ac:dyDescent="0.4">
      <c r="A27" s="67" t="s">
        <v>46</v>
      </c>
      <c r="B27" s="611" t="s">
        <v>124</v>
      </c>
      <c r="C27" s="611"/>
    </row>
    <row r="28" spans="1:14" ht="27" customHeight="1" x14ac:dyDescent="0.4">
      <c r="A28" s="67" t="s">
        <v>6</v>
      </c>
      <c r="B28" s="68">
        <v>101.74</v>
      </c>
    </row>
    <row r="29" spans="1:14" s="14" customFormat="1" ht="27" customHeight="1" x14ac:dyDescent="0.4">
      <c r="A29" s="67" t="s">
        <v>47</v>
      </c>
      <c r="B29" s="69">
        <v>0</v>
      </c>
      <c r="C29" s="612" t="s">
        <v>48</v>
      </c>
      <c r="D29" s="613"/>
      <c r="E29" s="613"/>
      <c r="F29" s="613"/>
      <c r="G29" s="614"/>
      <c r="I29" s="70"/>
      <c r="J29" s="70"/>
      <c r="K29" s="70"/>
      <c r="L29" s="70"/>
    </row>
    <row r="30" spans="1:14" s="14" customFormat="1" ht="19.5" customHeight="1" x14ac:dyDescent="0.3">
      <c r="A30" s="67" t="s">
        <v>49</v>
      </c>
      <c r="B30" s="71">
        <f>B28-B29</f>
        <v>101.74</v>
      </c>
      <c r="C30" s="72"/>
      <c r="D30" s="72"/>
      <c r="E30" s="72"/>
      <c r="F30" s="72"/>
      <c r="G30" s="73"/>
      <c r="I30" s="70"/>
      <c r="J30" s="70"/>
      <c r="K30" s="70"/>
      <c r="L30" s="70"/>
    </row>
    <row r="31" spans="1:14" s="14" customFormat="1" ht="27" customHeight="1" x14ac:dyDescent="0.4">
      <c r="A31" s="67" t="s">
        <v>50</v>
      </c>
      <c r="B31" s="74">
        <v>1</v>
      </c>
      <c r="C31" s="615" t="s">
        <v>51</v>
      </c>
      <c r="D31" s="616"/>
      <c r="E31" s="616"/>
      <c r="F31" s="616"/>
      <c r="G31" s="616"/>
      <c r="H31" s="617"/>
      <c r="I31" s="70"/>
      <c r="J31" s="70"/>
      <c r="K31" s="70"/>
      <c r="L31" s="70"/>
    </row>
    <row r="32" spans="1:14" s="14" customFormat="1" ht="27" customHeight="1" x14ac:dyDescent="0.4">
      <c r="A32" s="67" t="s">
        <v>52</v>
      </c>
      <c r="B32" s="74">
        <v>1</v>
      </c>
      <c r="C32" s="615" t="s">
        <v>53</v>
      </c>
      <c r="D32" s="616"/>
      <c r="E32" s="616"/>
      <c r="F32" s="616"/>
      <c r="G32" s="616"/>
      <c r="H32" s="617"/>
      <c r="I32" s="70"/>
      <c r="J32" s="70"/>
      <c r="K32" s="70"/>
      <c r="L32" s="75"/>
      <c r="M32" s="75"/>
      <c r="N32" s="76"/>
    </row>
    <row r="33" spans="1:14" s="14" customFormat="1" ht="17.25" customHeight="1" x14ac:dyDescent="0.3">
      <c r="A33" s="67"/>
      <c r="B33" s="77"/>
      <c r="C33" s="78"/>
      <c r="D33" s="78"/>
      <c r="E33" s="78"/>
      <c r="F33" s="78"/>
      <c r="G33" s="78"/>
      <c r="H33" s="78"/>
      <c r="I33" s="70"/>
      <c r="J33" s="70"/>
      <c r="K33" s="70"/>
      <c r="L33" s="75"/>
      <c r="M33" s="75"/>
      <c r="N33" s="76"/>
    </row>
    <row r="34" spans="1:14" s="14" customFormat="1" ht="18.75" x14ac:dyDescent="0.3">
      <c r="A34" s="67" t="s">
        <v>54</v>
      </c>
      <c r="B34" s="79">
        <f>B31/B32</f>
        <v>1</v>
      </c>
      <c r="C34" s="58" t="s">
        <v>55</v>
      </c>
      <c r="D34" s="58"/>
      <c r="E34" s="58"/>
      <c r="F34" s="58"/>
      <c r="G34" s="58"/>
      <c r="I34" s="70"/>
      <c r="J34" s="70"/>
      <c r="K34" s="70"/>
      <c r="L34" s="75"/>
      <c r="M34" s="75"/>
      <c r="N34" s="76"/>
    </row>
    <row r="35" spans="1:14" s="14" customFormat="1" ht="19.5" customHeight="1" x14ac:dyDescent="0.3">
      <c r="A35" s="67"/>
      <c r="B35" s="71"/>
      <c r="G35" s="58"/>
      <c r="I35" s="70"/>
      <c r="J35" s="70"/>
      <c r="K35" s="70"/>
      <c r="L35" s="75"/>
      <c r="M35" s="75"/>
      <c r="N35" s="76"/>
    </row>
    <row r="36" spans="1:14" s="14" customFormat="1" ht="27" customHeight="1" x14ac:dyDescent="0.4">
      <c r="A36" s="80" t="s">
        <v>56</v>
      </c>
      <c r="B36" s="81">
        <v>25</v>
      </c>
      <c r="C36" s="58"/>
      <c r="D36" s="618" t="s">
        <v>57</v>
      </c>
      <c r="E36" s="619"/>
      <c r="F36" s="618" t="s">
        <v>58</v>
      </c>
      <c r="G36" s="620"/>
      <c r="J36" s="70"/>
      <c r="K36" s="70"/>
      <c r="L36" s="75"/>
      <c r="M36" s="75"/>
      <c r="N36" s="76"/>
    </row>
    <row r="37" spans="1:14" s="14" customFormat="1" ht="27" customHeight="1" x14ac:dyDescent="0.4">
      <c r="A37" s="82" t="s">
        <v>59</v>
      </c>
      <c r="B37" s="83">
        <v>5</v>
      </c>
      <c r="C37" s="84" t="s">
        <v>60</v>
      </c>
      <c r="D37" s="85" t="s">
        <v>61</v>
      </c>
      <c r="E37" s="86" t="s">
        <v>62</v>
      </c>
      <c r="F37" s="85" t="s">
        <v>61</v>
      </c>
      <c r="G37" s="87" t="s">
        <v>62</v>
      </c>
      <c r="I37" s="88" t="s">
        <v>63</v>
      </c>
      <c r="J37" s="70"/>
      <c r="K37" s="70"/>
      <c r="L37" s="75"/>
      <c r="M37" s="75"/>
      <c r="N37" s="76"/>
    </row>
    <row r="38" spans="1:14" s="14" customFormat="1" ht="26.25" customHeight="1" x14ac:dyDescent="0.4">
      <c r="A38" s="82" t="s">
        <v>64</v>
      </c>
      <c r="B38" s="83">
        <v>50</v>
      </c>
      <c r="C38" s="89">
        <v>1</v>
      </c>
      <c r="D38" s="453">
        <v>17690277</v>
      </c>
      <c r="E38" s="90">
        <f>IF(ISBLANK(D38),"-",$D$48/$D$45*D38)</f>
        <v>17057943.58026455</v>
      </c>
      <c r="F38" s="453">
        <v>18956439</v>
      </c>
      <c r="G38" s="91">
        <f>IF(ISBLANK(F38),"-",$D$48/$F$45*F38)</f>
        <v>17062489.063914265</v>
      </c>
      <c r="I38" s="92"/>
      <c r="J38" s="70"/>
      <c r="K38" s="70"/>
      <c r="L38" s="75"/>
      <c r="M38" s="75"/>
      <c r="N38" s="76"/>
    </row>
    <row r="39" spans="1:14" s="14" customFormat="1" ht="26.25" customHeight="1" x14ac:dyDescent="0.4">
      <c r="A39" s="82" t="s">
        <v>65</v>
      </c>
      <c r="B39" s="83">
        <v>1</v>
      </c>
      <c r="C39" s="93">
        <v>2</v>
      </c>
      <c r="D39" s="458">
        <v>17620885</v>
      </c>
      <c r="E39" s="95">
        <f>IF(ISBLANK(D39),"-",$D$48/$D$45*D39)</f>
        <v>16991031.975606143</v>
      </c>
      <c r="F39" s="458">
        <v>19055984</v>
      </c>
      <c r="G39" s="96">
        <f>IF(ISBLANK(F39),"-",$D$48/$F$45*F39)</f>
        <v>17152088.459342241</v>
      </c>
      <c r="I39" s="622">
        <f>ABS((F43/D43*D42)-F42)/D42</f>
        <v>9.5063786114879048E-3</v>
      </c>
      <c r="J39" s="70"/>
      <c r="K39" s="70"/>
      <c r="L39" s="75"/>
      <c r="M39" s="75"/>
      <c r="N39" s="76"/>
    </row>
    <row r="40" spans="1:14" ht="26.25" customHeight="1" x14ac:dyDescent="0.4">
      <c r="A40" s="82" t="s">
        <v>66</v>
      </c>
      <c r="B40" s="83">
        <v>1</v>
      </c>
      <c r="C40" s="93">
        <v>3</v>
      </c>
      <c r="D40" s="458">
        <v>17652542</v>
      </c>
      <c r="E40" s="95">
        <f>IF(ISBLANK(D40),"-",$D$48/$D$45*D40)</f>
        <v>17021557.406040072</v>
      </c>
      <c r="F40" s="458">
        <v>19230473</v>
      </c>
      <c r="G40" s="96">
        <f>IF(ISBLANK(F40),"-",$D$48/$F$45*F40)</f>
        <v>17309144.151831392</v>
      </c>
      <c r="I40" s="622"/>
      <c r="L40" s="75"/>
      <c r="M40" s="75"/>
      <c r="N40" s="97"/>
    </row>
    <row r="41" spans="1:14" ht="27" customHeight="1" x14ac:dyDescent="0.4">
      <c r="A41" s="82" t="s">
        <v>67</v>
      </c>
      <c r="B41" s="83">
        <v>1</v>
      </c>
      <c r="C41" s="98">
        <v>4</v>
      </c>
      <c r="D41" s="99"/>
      <c r="E41" s="100" t="str">
        <f>IF(ISBLANK(D41),"-",$D$48/$D$45*D41)</f>
        <v>-</v>
      </c>
      <c r="F41" s="99"/>
      <c r="G41" s="101" t="str">
        <f>IF(ISBLANK(F41),"-",$D$48/$F$45*F41)</f>
        <v>-</v>
      </c>
      <c r="I41" s="102"/>
      <c r="L41" s="75"/>
      <c r="M41" s="75"/>
      <c r="N41" s="97"/>
    </row>
    <row r="42" spans="1:14" ht="27" customHeight="1" x14ac:dyDescent="0.4">
      <c r="A42" s="82" t="s">
        <v>68</v>
      </c>
      <c r="B42" s="83">
        <v>1</v>
      </c>
      <c r="C42" s="103" t="s">
        <v>69</v>
      </c>
      <c r="D42" s="104">
        <f>AVERAGE(D38:D41)</f>
        <v>17654568</v>
      </c>
      <c r="E42" s="105">
        <f>AVERAGE(E38:E41)</f>
        <v>17023510.987303589</v>
      </c>
      <c r="F42" s="104">
        <f>AVERAGE(F38:F41)</f>
        <v>19080965.333333332</v>
      </c>
      <c r="G42" s="106">
        <f>AVERAGE(G38:G41)</f>
        <v>17174573.891695965</v>
      </c>
      <c r="H42" s="107"/>
    </row>
    <row r="43" spans="1:14" ht="26.25" customHeight="1" x14ac:dyDescent="0.4">
      <c r="A43" s="82" t="s">
        <v>70</v>
      </c>
      <c r="B43" s="83">
        <v>1</v>
      </c>
      <c r="C43" s="108" t="s">
        <v>71</v>
      </c>
      <c r="D43" s="109">
        <v>15.29</v>
      </c>
      <c r="E43" s="97"/>
      <c r="F43" s="109">
        <v>16.38</v>
      </c>
      <c r="H43" s="107"/>
    </row>
    <row r="44" spans="1:14" ht="26.25" customHeight="1" x14ac:dyDescent="0.4">
      <c r="A44" s="82" t="s">
        <v>72</v>
      </c>
      <c r="B44" s="83">
        <v>1</v>
      </c>
      <c r="C44" s="110" t="s">
        <v>73</v>
      </c>
      <c r="D44" s="111">
        <f>D43*$B$34</f>
        <v>15.29</v>
      </c>
      <c r="E44" s="112"/>
      <c r="F44" s="111">
        <f>F43*$B$34</f>
        <v>16.38</v>
      </c>
      <c r="H44" s="107"/>
    </row>
    <row r="45" spans="1:14" ht="19.5" customHeight="1" x14ac:dyDescent="0.3">
      <c r="A45" s="82" t="s">
        <v>74</v>
      </c>
      <c r="B45" s="113">
        <f>(B44/B43)*(B42/B41)*(B40/B39)*(B38/B37)*B36</f>
        <v>250</v>
      </c>
      <c r="C45" s="110" t="s">
        <v>75</v>
      </c>
      <c r="D45" s="114">
        <f>D44*$B$30/100</f>
        <v>15.556045999999998</v>
      </c>
      <c r="E45" s="115"/>
      <c r="F45" s="114">
        <f>F44*$B$30/100</f>
        <v>16.665012000000001</v>
      </c>
      <c r="H45" s="107"/>
    </row>
    <row r="46" spans="1:14" ht="19.5" customHeight="1" x14ac:dyDescent="0.3">
      <c r="A46" s="623" t="s">
        <v>76</v>
      </c>
      <c r="B46" s="624"/>
      <c r="C46" s="110" t="s">
        <v>77</v>
      </c>
      <c r="D46" s="116">
        <f>D45/$B$45</f>
        <v>6.2224183999999995E-2</v>
      </c>
      <c r="E46" s="117"/>
      <c r="F46" s="118">
        <f>F45/$B$45</f>
        <v>6.6660048E-2</v>
      </c>
      <c r="H46" s="107"/>
    </row>
    <row r="47" spans="1:14" ht="27" customHeight="1" x14ac:dyDescent="0.4">
      <c r="A47" s="625"/>
      <c r="B47" s="626"/>
      <c r="C47" s="119" t="s">
        <v>78</v>
      </c>
      <c r="D47" s="120">
        <v>0.06</v>
      </c>
      <c r="E47" s="121"/>
      <c r="F47" s="117"/>
      <c r="H47" s="107"/>
    </row>
    <row r="48" spans="1:14" ht="18.75" x14ac:dyDescent="0.3">
      <c r="C48" s="122" t="s">
        <v>79</v>
      </c>
      <c r="D48" s="114">
        <f>D47*$B$45</f>
        <v>15</v>
      </c>
      <c r="F48" s="123"/>
      <c r="H48" s="107"/>
    </row>
    <row r="49" spans="1:12" ht="19.5" customHeight="1" x14ac:dyDescent="0.3">
      <c r="C49" s="124" t="s">
        <v>80</v>
      </c>
      <c r="D49" s="125">
        <f>D48/B34</f>
        <v>15</v>
      </c>
      <c r="F49" s="123"/>
      <c r="H49" s="107"/>
    </row>
    <row r="50" spans="1:12" ht="18.75" x14ac:dyDescent="0.3">
      <c r="C50" s="80" t="s">
        <v>81</v>
      </c>
      <c r="D50" s="126">
        <f>AVERAGE(E38:E41,G38:G41)</f>
        <v>17099042.439499777</v>
      </c>
      <c r="F50" s="127"/>
      <c r="H50" s="107"/>
    </row>
    <row r="51" spans="1:12" ht="18.75" x14ac:dyDescent="0.3">
      <c r="C51" s="82" t="s">
        <v>82</v>
      </c>
      <c r="D51" s="128">
        <f>STDEV(E38:E41,G38:G41)/D50</f>
        <v>6.8027379142920992E-3</v>
      </c>
      <c r="F51" s="127"/>
      <c r="H51" s="107"/>
    </row>
    <row r="52" spans="1:12" ht="19.5" customHeight="1" x14ac:dyDescent="0.3">
      <c r="C52" s="129" t="s">
        <v>18</v>
      </c>
      <c r="D52" s="130">
        <f>COUNT(E38:E41,G38:G41)</f>
        <v>6</v>
      </c>
      <c r="F52" s="127"/>
    </row>
    <row r="54" spans="1:12" ht="18.75" x14ac:dyDescent="0.3">
      <c r="A54" s="131" t="s">
        <v>1</v>
      </c>
      <c r="B54" s="132" t="s">
        <v>83</v>
      </c>
    </row>
    <row r="55" spans="1:12" ht="18.75" x14ac:dyDescent="0.3">
      <c r="A55" s="58" t="s">
        <v>84</v>
      </c>
      <c r="B55" s="133" t="str">
        <f>B21</f>
        <v>Each tablet contains Tenofovir Disoproxil Fumarate 300mg, Lamivudine 300mg &amp; Efavirenz 600mg tablets</v>
      </c>
    </row>
    <row r="56" spans="1:12" ht="26.25" customHeight="1" x14ac:dyDescent="0.4">
      <c r="A56" s="134" t="s">
        <v>85</v>
      </c>
      <c r="B56" s="135">
        <v>300</v>
      </c>
      <c r="C56" s="58" t="str">
        <f>B20</f>
        <v>Tenofovir Disoproxil Fumarate 300mg, Lamivudine 300mg &amp; Efavirenz 600mg tablets</v>
      </c>
      <c r="H56" s="136"/>
    </row>
    <row r="57" spans="1:12" ht="18.75" x14ac:dyDescent="0.3">
      <c r="A57" s="133" t="s">
        <v>86</v>
      </c>
      <c r="B57" s="225">
        <f>Uniformity!C46</f>
        <v>1769.7860000000001</v>
      </c>
      <c r="H57" s="136"/>
    </row>
    <row r="58" spans="1:12" ht="19.5" customHeight="1" x14ac:dyDescent="0.3">
      <c r="H58" s="136"/>
    </row>
    <row r="59" spans="1:12" s="14" customFormat="1" ht="27" customHeight="1" x14ac:dyDescent="0.4">
      <c r="A59" s="80" t="s">
        <v>87</v>
      </c>
      <c r="B59" s="81">
        <v>200</v>
      </c>
      <c r="C59" s="58"/>
      <c r="D59" s="137" t="s">
        <v>88</v>
      </c>
      <c r="E59" s="138" t="s">
        <v>60</v>
      </c>
      <c r="F59" s="138" t="s">
        <v>61</v>
      </c>
      <c r="G59" s="138" t="s">
        <v>89</v>
      </c>
      <c r="H59" s="84" t="s">
        <v>90</v>
      </c>
      <c r="L59" s="70"/>
    </row>
    <row r="60" spans="1:12" s="14" customFormat="1" ht="26.25" customHeight="1" x14ac:dyDescent="0.4">
      <c r="A60" s="82" t="s">
        <v>91</v>
      </c>
      <c r="B60" s="83">
        <v>4</v>
      </c>
      <c r="C60" s="627" t="s">
        <v>92</v>
      </c>
      <c r="D60" s="630">
        <v>1758.5</v>
      </c>
      <c r="E60" s="139">
        <v>1</v>
      </c>
      <c r="F60" s="140">
        <v>17244479</v>
      </c>
      <c r="G60" s="226">
        <f>IF(ISBLANK(F60),"-",(F60/$D$50*$D$47*$B$68)*($B$57/$D$60))</f>
        <v>304.4934289371725</v>
      </c>
      <c r="H60" s="141">
        <f t="shared" ref="H60:H71" si="0">IF(ISBLANK(F60),"-",G60/$B$56)</f>
        <v>1.0149780964572417</v>
      </c>
      <c r="L60" s="70"/>
    </row>
    <row r="61" spans="1:12" s="14" customFormat="1" ht="26.25" customHeight="1" x14ac:dyDescent="0.4">
      <c r="A61" s="82" t="s">
        <v>93</v>
      </c>
      <c r="B61" s="83">
        <v>100</v>
      </c>
      <c r="C61" s="628"/>
      <c r="D61" s="631"/>
      <c r="E61" s="142">
        <v>2</v>
      </c>
      <c r="F61" s="94">
        <v>17355457</v>
      </c>
      <c r="G61" s="227">
        <f>IF(ISBLANK(F61),"-",(F61/$D$50*$D$47*$B$68)*($B$57/$D$60))</f>
        <v>306.4530168004294</v>
      </c>
      <c r="H61" s="143">
        <f t="shared" si="0"/>
        <v>1.0215100560014314</v>
      </c>
      <c r="L61" s="70"/>
    </row>
    <row r="62" spans="1:12" s="14" customFormat="1" ht="26.25" customHeight="1" x14ac:dyDescent="0.4">
      <c r="A62" s="82" t="s">
        <v>94</v>
      </c>
      <c r="B62" s="83">
        <v>1</v>
      </c>
      <c r="C62" s="628"/>
      <c r="D62" s="631"/>
      <c r="E62" s="142">
        <v>3</v>
      </c>
      <c r="F62" s="144">
        <v>17284763</v>
      </c>
      <c r="G62" s="227">
        <f>IF(ISBLANK(F62),"-",(F62/$D$50*$D$47*$B$68)*($B$57/$D$60))</f>
        <v>305.20474142688619</v>
      </c>
      <c r="H62" s="143">
        <f t="shared" si="0"/>
        <v>1.0173491380896207</v>
      </c>
      <c r="L62" s="70"/>
    </row>
    <row r="63" spans="1:12" ht="27" customHeight="1" x14ac:dyDescent="0.4">
      <c r="A63" s="82" t="s">
        <v>95</v>
      </c>
      <c r="B63" s="83">
        <v>1</v>
      </c>
      <c r="C63" s="629"/>
      <c r="D63" s="632"/>
      <c r="E63" s="145">
        <v>4</v>
      </c>
      <c r="F63" s="146"/>
      <c r="G63" s="227" t="str">
        <f>IF(ISBLANK(F63),"-",(F63/$D$50*$D$47*$B$68)*($B$57/$D$60))</f>
        <v>-</v>
      </c>
      <c r="H63" s="143" t="str">
        <f t="shared" si="0"/>
        <v>-</v>
      </c>
    </row>
    <row r="64" spans="1:12" ht="26.25" customHeight="1" x14ac:dyDescent="0.4">
      <c r="A64" s="82" t="s">
        <v>96</v>
      </c>
      <c r="B64" s="83">
        <v>1</v>
      </c>
      <c r="C64" s="627" t="s">
        <v>97</v>
      </c>
      <c r="D64" s="630">
        <v>1763.59</v>
      </c>
      <c r="E64" s="139">
        <v>1</v>
      </c>
      <c r="F64" s="140">
        <v>17145388</v>
      </c>
      <c r="G64" s="228">
        <f>IF(ISBLANK(F64),"-",(F64/$D$50*$D$47*$B$68)*($B$57/$D$64))</f>
        <v>301.86996875710702</v>
      </c>
      <c r="H64" s="147">
        <f t="shared" si="0"/>
        <v>1.0062332291903566</v>
      </c>
    </row>
    <row r="65" spans="1:8" ht="26.25" customHeight="1" x14ac:dyDescent="0.4">
      <c r="A65" s="82" t="s">
        <v>98</v>
      </c>
      <c r="B65" s="83">
        <v>1</v>
      </c>
      <c r="C65" s="628"/>
      <c r="D65" s="631"/>
      <c r="E65" s="142">
        <v>2</v>
      </c>
      <c r="F65" s="94">
        <v>17275987</v>
      </c>
      <c r="G65" s="229">
        <f>IF(ISBLANK(F65),"-",(F65/$D$50*$D$47*$B$68)*($B$57/$D$64))</f>
        <v>304.16935772688191</v>
      </c>
      <c r="H65" s="148">
        <f t="shared" si="0"/>
        <v>1.0138978590896064</v>
      </c>
    </row>
    <row r="66" spans="1:8" ht="26.25" customHeight="1" x14ac:dyDescent="0.4">
      <c r="A66" s="82" t="s">
        <v>99</v>
      </c>
      <c r="B66" s="83">
        <v>1</v>
      </c>
      <c r="C66" s="628"/>
      <c r="D66" s="631"/>
      <c r="E66" s="142">
        <v>3</v>
      </c>
      <c r="F66" s="94">
        <v>17187260</v>
      </c>
      <c r="G66" s="229">
        <f>IF(ISBLANK(F66),"-",(F66/$D$50*$D$47*$B$68)*($B$57/$D$64))</f>
        <v>302.60718738008586</v>
      </c>
      <c r="H66" s="148">
        <f t="shared" si="0"/>
        <v>1.0086906246002862</v>
      </c>
    </row>
    <row r="67" spans="1:8" ht="27" customHeight="1" x14ac:dyDescent="0.4">
      <c r="A67" s="82" t="s">
        <v>100</v>
      </c>
      <c r="B67" s="83">
        <v>1</v>
      </c>
      <c r="C67" s="629"/>
      <c r="D67" s="632"/>
      <c r="E67" s="145">
        <v>4</v>
      </c>
      <c r="F67" s="146"/>
      <c r="G67" s="230" t="str">
        <f>IF(ISBLANK(F67),"-",(F67/$D$50*$D$47*$B$68)*($B$57/$D$64))</f>
        <v>-</v>
      </c>
      <c r="H67" s="149" t="str">
        <f t="shared" si="0"/>
        <v>-</v>
      </c>
    </row>
    <row r="68" spans="1:8" ht="26.25" customHeight="1" x14ac:dyDescent="0.4">
      <c r="A68" s="82" t="s">
        <v>101</v>
      </c>
      <c r="B68" s="150">
        <f>(B67/B66)*(B65/B64)*(B63/B62)*(B61/B60)*B59</f>
        <v>5000</v>
      </c>
      <c r="C68" s="627" t="s">
        <v>102</v>
      </c>
      <c r="D68" s="630">
        <v>1761.17</v>
      </c>
      <c r="E68" s="139">
        <v>1</v>
      </c>
      <c r="F68" s="140">
        <v>17406453</v>
      </c>
      <c r="G68" s="228">
        <f>IF(ISBLANK(F68),"-",(F68/$D$50*$D$47*$B$68)*($B$57/$D$68))</f>
        <v>306.88751639809595</v>
      </c>
      <c r="H68" s="143">
        <f t="shared" si="0"/>
        <v>1.0229583879936532</v>
      </c>
    </row>
    <row r="69" spans="1:8" ht="27" customHeight="1" x14ac:dyDescent="0.4">
      <c r="A69" s="129" t="s">
        <v>103</v>
      </c>
      <c r="B69" s="151">
        <f>(D47*B68)/B56*B57</f>
        <v>1769.7860000000001</v>
      </c>
      <c r="C69" s="628"/>
      <c r="D69" s="631"/>
      <c r="E69" s="142">
        <v>2</v>
      </c>
      <c r="F69" s="94">
        <v>17470822</v>
      </c>
      <c r="G69" s="229">
        <f>IF(ISBLANK(F69),"-",(F69/$D$50*$D$47*$B$68)*($B$57/$D$68))</f>
        <v>308.02238531958318</v>
      </c>
      <c r="H69" s="143">
        <f t="shared" si="0"/>
        <v>1.0267412843986106</v>
      </c>
    </row>
    <row r="70" spans="1:8" ht="26.25" customHeight="1" x14ac:dyDescent="0.4">
      <c r="A70" s="640" t="s">
        <v>76</v>
      </c>
      <c r="B70" s="641"/>
      <c r="C70" s="628"/>
      <c r="D70" s="631"/>
      <c r="E70" s="142">
        <v>3</v>
      </c>
      <c r="F70" s="94">
        <v>17416303</v>
      </c>
      <c r="G70" s="229">
        <f>IF(ISBLANK(F70),"-",(F70/$D$50*$D$47*$B$68)*($B$57/$D$68))</f>
        <v>307.06117854721504</v>
      </c>
      <c r="H70" s="143">
        <f t="shared" si="0"/>
        <v>1.0235372618240501</v>
      </c>
    </row>
    <row r="71" spans="1:8" ht="27" customHeight="1" x14ac:dyDescent="0.4">
      <c r="A71" s="642"/>
      <c r="B71" s="643"/>
      <c r="C71" s="639"/>
      <c r="D71" s="632"/>
      <c r="E71" s="145">
        <v>4</v>
      </c>
      <c r="F71" s="146"/>
      <c r="G71" s="230" t="str">
        <f>IF(ISBLANK(F71),"-",(F71/$D$50*$D$47*$B$68)*($B$57/$D$68))</f>
        <v>-</v>
      </c>
      <c r="H71" s="152" t="str">
        <f t="shared" si="0"/>
        <v>-</v>
      </c>
    </row>
    <row r="72" spans="1:8" ht="26.25" customHeight="1" x14ac:dyDescent="0.4">
      <c r="A72" s="153"/>
      <c r="B72" s="153"/>
      <c r="C72" s="153"/>
      <c r="D72" s="153"/>
      <c r="E72" s="153"/>
      <c r="F72" s="155" t="s">
        <v>69</v>
      </c>
      <c r="G72" s="235">
        <f>AVERAGE(G60:G71)</f>
        <v>305.19653125482853</v>
      </c>
      <c r="H72" s="156">
        <f>AVERAGE(H60:H71)</f>
        <v>1.0173217708494284</v>
      </c>
    </row>
    <row r="73" spans="1:8" ht="26.25" customHeight="1" x14ac:dyDescent="0.4">
      <c r="C73" s="153"/>
      <c r="D73" s="153"/>
      <c r="E73" s="153"/>
      <c r="F73" s="157" t="s">
        <v>82</v>
      </c>
      <c r="G73" s="231">
        <f>STDEV(G60:G71)/G72</f>
        <v>6.875034061660827E-3</v>
      </c>
      <c r="H73" s="231">
        <f>STDEV(H60:H71)/H72</f>
        <v>6.8750340616608461E-3</v>
      </c>
    </row>
    <row r="74" spans="1:8" ht="27" customHeight="1" x14ac:dyDescent="0.4">
      <c r="A74" s="153"/>
      <c r="B74" s="153"/>
      <c r="C74" s="154"/>
      <c r="D74" s="154"/>
      <c r="E74" s="158"/>
      <c r="F74" s="159" t="s">
        <v>18</v>
      </c>
      <c r="G74" s="160">
        <f>COUNT(G60:G71)</f>
        <v>9</v>
      </c>
      <c r="H74" s="160">
        <f>COUNT(H60:H71)</f>
        <v>9</v>
      </c>
    </row>
    <row r="76" spans="1:8" ht="26.25" customHeight="1" x14ac:dyDescent="0.4">
      <c r="A76" s="66" t="s">
        <v>104</v>
      </c>
      <c r="B76" s="161" t="s">
        <v>105</v>
      </c>
      <c r="C76" s="635" t="str">
        <f>B20</f>
        <v>Tenofovir Disoproxil Fumarate 300mg, Lamivudine 300mg &amp; Efavirenz 600mg tablets</v>
      </c>
      <c r="D76" s="635"/>
      <c r="E76" s="162" t="s">
        <v>106</v>
      </c>
      <c r="F76" s="162"/>
      <c r="G76" s="163">
        <f>H72</f>
        <v>1.0173217708494284</v>
      </c>
      <c r="H76" s="164"/>
    </row>
    <row r="77" spans="1:8" ht="18.75" x14ac:dyDescent="0.3">
      <c r="A77" s="65" t="s">
        <v>107</v>
      </c>
      <c r="B77" s="65" t="s">
        <v>108</v>
      </c>
    </row>
    <row r="78" spans="1:8" ht="18.75" x14ac:dyDescent="0.3">
      <c r="A78" s="65"/>
      <c r="B78" s="65"/>
    </row>
    <row r="79" spans="1:8" ht="26.25" customHeight="1" x14ac:dyDescent="0.4">
      <c r="A79" s="66" t="s">
        <v>4</v>
      </c>
      <c r="B79" s="621" t="str">
        <f>B26</f>
        <v>Lamivudine</v>
      </c>
      <c r="C79" s="621"/>
    </row>
    <row r="80" spans="1:8" ht="26.25" customHeight="1" x14ac:dyDescent="0.4">
      <c r="A80" s="67" t="s">
        <v>46</v>
      </c>
      <c r="B80" s="621" t="str">
        <f>B27</f>
        <v>L3-9</v>
      </c>
      <c r="C80" s="621"/>
    </row>
    <row r="81" spans="1:12" ht="27" customHeight="1" x14ac:dyDescent="0.4">
      <c r="A81" s="67" t="s">
        <v>6</v>
      </c>
      <c r="B81" s="165">
        <f>B28</f>
        <v>101.74</v>
      </c>
    </row>
    <row r="82" spans="1:12" s="14" customFormat="1" ht="27" customHeight="1" x14ac:dyDescent="0.4">
      <c r="A82" s="67" t="s">
        <v>47</v>
      </c>
      <c r="B82" s="69">
        <v>0</v>
      </c>
      <c r="C82" s="612" t="s">
        <v>48</v>
      </c>
      <c r="D82" s="613"/>
      <c r="E82" s="613"/>
      <c r="F82" s="613"/>
      <c r="G82" s="614"/>
      <c r="I82" s="70"/>
      <c r="J82" s="70"/>
      <c r="K82" s="70"/>
      <c r="L82" s="70"/>
    </row>
    <row r="83" spans="1:12" s="14" customFormat="1" ht="19.5" customHeight="1" x14ac:dyDescent="0.3">
      <c r="A83" s="67" t="s">
        <v>49</v>
      </c>
      <c r="B83" s="71">
        <f>B81-B82</f>
        <v>101.74</v>
      </c>
      <c r="C83" s="72"/>
      <c r="D83" s="72"/>
      <c r="E83" s="72"/>
      <c r="F83" s="72"/>
      <c r="G83" s="73"/>
      <c r="I83" s="70"/>
      <c r="J83" s="70"/>
      <c r="K83" s="70"/>
      <c r="L83" s="70"/>
    </row>
    <row r="84" spans="1:12" s="14" customFormat="1" ht="27" customHeight="1" x14ac:dyDescent="0.4">
      <c r="A84" s="67" t="s">
        <v>50</v>
      </c>
      <c r="B84" s="74">
        <v>1</v>
      </c>
      <c r="C84" s="615" t="s">
        <v>109</v>
      </c>
      <c r="D84" s="616"/>
      <c r="E84" s="616"/>
      <c r="F84" s="616"/>
      <c r="G84" s="616"/>
      <c r="H84" s="617"/>
      <c r="I84" s="70"/>
      <c r="J84" s="70"/>
      <c r="K84" s="70"/>
      <c r="L84" s="70"/>
    </row>
    <row r="85" spans="1:12" s="14" customFormat="1" ht="27" customHeight="1" x14ac:dyDescent="0.4">
      <c r="A85" s="67" t="s">
        <v>52</v>
      </c>
      <c r="B85" s="74">
        <v>1</v>
      </c>
      <c r="C85" s="615" t="s">
        <v>110</v>
      </c>
      <c r="D85" s="616"/>
      <c r="E85" s="616"/>
      <c r="F85" s="616"/>
      <c r="G85" s="616"/>
      <c r="H85" s="617"/>
      <c r="I85" s="70"/>
      <c r="J85" s="70"/>
      <c r="K85" s="70"/>
      <c r="L85" s="70"/>
    </row>
    <row r="86" spans="1:12" s="14" customFormat="1" ht="18.75" x14ac:dyDescent="0.3">
      <c r="A86" s="67"/>
      <c r="B86" s="77"/>
      <c r="C86" s="78"/>
      <c r="D86" s="78"/>
      <c r="E86" s="78"/>
      <c r="F86" s="78"/>
      <c r="G86" s="78"/>
      <c r="H86" s="78"/>
      <c r="I86" s="70"/>
      <c r="J86" s="70"/>
      <c r="K86" s="70"/>
      <c r="L86" s="70"/>
    </row>
    <row r="87" spans="1:12" s="14" customFormat="1" ht="18.75" x14ac:dyDescent="0.3">
      <c r="A87" s="67" t="s">
        <v>54</v>
      </c>
      <c r="B87" s="79">
        <f>B84/B85</f>
        <v>1</v>
      </c>
      <c r="C87" s="58" t="s">
        <v>55</v>
      </c>
      <c r="D87" s="58"/>
      <c r="E87" s="58"/>
      <c r="F87" s="58"/>
      <c r="G87" s="58"/>
      <c r="I87" s="70"/>
      <c r="J87" s="70"/>
      <c r="K87" s="70"/>
      <c r="L87" s="70"/>
    </row>
    <row r="88" spans="1:12" ht="19.5" customHeight="1" x14ac:dyDescent="0.3">
      <c r="A88" s="65"/>
      <c r="B88" s="65"/>
    </row>
    <row r="89" spans="1:12" ht="27" customHeight="1" x14ac:dyDescent="0.4">
      <c r="A89" s="80" t="s">
        <v>56</v>
      </c>
      <c r="B89" s="81">
        <v>25</v>
      </c>
      <c r="D89" s="166" t="s">
        <v>57</v>
      </c>
      <c r="E89" s="167"/>
      <c r="F89" s="618" t="s">
        <v>58</v>
      </c>
      <c r="G89" s="620"/>
    </row>
    <row r="90" spans="1:12" ht="27" customHeight="1" x14ac:dyDescent="0.4">
      <c r="A90" s="82" t="s">
        <v>59</v>
      </c>
      <c r="B90" s="83">
        <v>10</v>
      </c>
      <c r="C90" s="168" t="s">
        <v>60</v>
      </c>
      <c r="D90" s="85" t="s">
        <v>61</v>
      </c>
      <c r="E90" s="86" t="s">
        <v>62</v>
      </c>
      <c r="F90" s="85" t="s">
        <v>61</v>
      </c>
      <c r="G90" s="169" t="s">
        <v>62</v>
      </c>
      <c r="I90" s="88" t="s">
        <v>63</v>
      </c>
    </row>
    <row r="91" spans="1:12" ht="26.25" customHeight="1" x14ac:dyDescent="0.4">
      <c r="A91" s="82" t="s">
        <v>64</v>
      </c>
      <c r="B91" s="83">
        <v>20</v>
      </c>
      <c r="C91" s="170">
        <v>1</v>
      </c>
      <c r="D91" s="696">
        <v>88399115</v>
      </c>
      <c r="E91" s="90">
        <f>IF(ISBLANK(D91),"-",$D$101/$D$98*D91)</f>
        <v>85239316.276128277</v>
      </c>
      <c r="F91" s="696">
        <v>94508634</v>
      </c>
      <c r="G91" s="91">
        <f>IF(ISBLANK(F91),"-",$D$101/$F$98*F91)</f>
        <v>85066215.97392188</v>
      </c>
      <c r="I91" s="92"/>
    </row>
    <row r="92" spans="1:12" ht="26.25" customHeight="1" x14ac:dyDescent="0.4">
      <c r="A92" s="82" t="s">
        <v>65</v>
      </c>
      <c r="B92" s="83">
        <v>1</v>
      </c>
      <c r="C92" s="154">
        <v>2</v>
      </c>
      <c r="D92" s="697">
        <v>88525147</v>
      </c>
      <c r="E92" s="95">
        <f>IF(ISBLANK(D92),"-",$D$101/$D$98*D92)</f>
        <v>85360843.301697627</v>
      </c>
      <c r="F92" s="697">
        <v>94622786</v>
      </c>
      <c r="G92" s="96">
        <f>IF(ISBLANK(F92),"-",$D$101/$F$98*F92)</f>
        <v>85168962.974644125</v>
      </c>
      <c r="I92" s="622">
        <f>ABS((F96/D96*D95)-F95)/D95</f>
        <v>7.5647567794110229E-4</v>
      </c>
    </row>
    <row r="93" spans="1:12" ht="26.25" customHeight="1" x14ac:dyDescent="0.4">
      <c r="A93" s="82" t="s">
        <v>66</v>
      </c>
      <c r="B93" s="83">
        <v>1</v>
      </c>
      <c r="C93" s="154">
        <v>3</v>
      </c>
      <c r="D93" s="697">
        <v>88450203</v>
      </c>
      <c r="E93" s="95">
        <f>IF(ISBLANK(D93),"-",$D$101/$D$98*D93)</f>
        <v>85288578.15154314</v>
      </c>
      <c r="F93" s="697">
        <v>94960423</v>
      </c>
      <c r="G93" s="96">
        <f>IF(ISBLANK(F93),"-",$D$101/$F$98*F93)</f>
        <v>85472866.446180776</v>
      </c>
      <c r="I93" s="622"/>
    </row>
    <row r="94" spans="1:12" ht="27" customHeight="1" x14ac:dyDescent="0.4">
      <c r="A94" s="82" t="s">
        <v>67</v>
      </c>
      <c r="B94" s="83">
        <v>1</v>
      </c>
      <c r="C94" s="171">
        <v>4</v>
      </c>
      <c r="D94" s="99"/>
      <c r="E94" s="100" t="str">
        <f>IF(ISBLANK(D94),"-",$D$101/$D$98*D94)</f>
        <v>-</v>
      </c>
      <c r="F94" s="172"/>
      <c r="G94" s="101" t="str">
        <f>IF(ISBLANK(F94),"-",$D$101/$F$98*F94)</f>
        <v>-</v>
      </c>
      <c r="I94" s="102"/>
    </row>
    <row r="95" spans="1:12" ht="27" customHeight="1" x14ac:dyDescent="0.4">
      <c r="A95" s="82" t="s">
        <v>68</v>
      </c>
      <c r="B95" s="83">
        <v>1</v>
      </c>
      <c r="C95" s="173" t="s">
        <v>69</v>
      </c>
      <c r="D95" s="174">
        <f>AVERAGE(D91:D94)</f>
        <v>88458155</v>
      </c>
      <c r="E95" s="105">
        <f>AVERAGE(E91:E94)</f>
        <v>85296245.909789681</v>
      </c>
      <c r="F95" s="175">
        <f>AVERAGE(F91:F94)</f>
        <v>94697281</v>
      </c>
      <c r="G95" s="176">
        <f>AVERAGE(G91:G94)</f>
        <v>85236015.13158226</v>
      </c>
    </row>
    <row r="96" spans="1:12" ht="26.25" customHeight="1" x14ac:dyDescent="0.4">
      <c r="A96" s="82" t="s">
        <v>70</v>
      </c>
      <c r="B96" s="68">
        <v>1</v>
      </c>
      <c r="C96" s="177" t="s">
        <v>111</v>
      </c>
      <c r="D96" s="178">
        <v>15.29</v>
      </c>
      <c r="E96" s="97"/>
      <c r="F96" s="109">
        <v>16.38</v>
      </c>
    </row>
    <row r="97" spans="1:10" ht="26.25" customHeight="1" x14ac:dyDescent="0.4">
      <c r="A97" s="82" t="s">
        <v>72</v>
      </c>
      <c r="B97" s="68">
        <v>1</v>
      </c>
      <c r="C97" s="179" t="s">
        <v>112</v>
      </c>
      <c r="D97" s="180">
        <f>D96*$B$87</f>
        <v>15.29</v>
      </c>
      <c r="E97" s="112"/>
      <c r="F97" s="111">
        <f>F96*$B$87</f>
        <v>16.38</v>
      </c>
    </row>
    <row r="98" spans="1:10" ht="19.5" customHeight="1" x14ac:dyDescent="0.3">
      <c r="A98" s="82" t="s">
        <v>74</v>
      </c>
      <c r="B98" s="181">
        <f>(B97/B96)*(B95/B94)*(B93/B92)*(B91/B90)*B89</f>
        <v>50</v>
      </c>
      <c r="C98" s="179" t="s">
        <v>113</v>
      </c>
      <c r="D98" s="182">
        <f>D97*$B$83/100</f>
        <v>15.556045999999998</v>
      </c>
      <c r="E98" s="115"/>
      <c r="F98" s="114">
        <f>F97*$B$83/100</f>
        <v>16.665012000000001</v>
      </c>
    </row>
    <row r="99" spans="1:10" ht="19.5" customHeight="1" x14ac:dyDescent="0.3">
      <c r="A99" s="623" t="s">
        <v>76</v>
      </c>
      <c r="B99" s="637"/>
      <c r="C99" s="179" t="s">
        <v>114</v>
      </c>
      <c r="D99" s="183">
        <f>D98/$B$98</f>
        <v>0.31112091999999997</v>
      </c>
      <c r="E99" s="115"/>
      <c r="F99" s="118">
        <f>F98/$B$98</f>
        <v>0.33330024000000003</v>
      </c>
      <c r="G99" s="184"/>
      <c r="H99" s="107"/>
    </row>
    <row r="100" spans="1:10" ht="19.5" customHeight="1" x14ac:dyDescent="0.3">
      <c r="A100" s="625"/>
      <c r="B100" s="638"/>
      <c r="C100" s="179" t="s">
        <v>78</v>
      </c>
      <c r="D100" s="185">
        <f>$B$56/$B$116</f>
        <v>0.3</v>
      </c>
      <c r="F100" s="123"/>
      <c r="G100" s="186"/>
      <c r="H100" s="107"/>
    </row>
    <row r="101" spans="1:10" ht="18.75" x14ac:dyDescent="0.3">
      <c r="C101" s="179" t="s">
        <v>79</v>
      </c>
      <c r="D101" s="180">
        <f>D100*$B$98</f>
        <v>15</v>
      </c>
      <c r="F101" s="123"/>
      <c r="G101" s="184"/>
      <c r="H101" s="107"/>
    </row>
    <row r="102" spans="1:10" ht="19.5" customHeight="1" x14ac:dyDescent="0.3">
      <c r="C102" s="187" t="s">
        <v>80</v>
      </c>
      <c r="D102" s="188">
        <f>D101/B34</f>
        <v>15</v>
      </c>
      <c r="F102" s="127"/>
      <c r="G102" s="184"/>
      <c r="H102" s="107"/>
      <c r="J102" s="189"/>
    </row>
    <row r="103" spans="1:10" ht="18.75" x14ac:dyDescent="0.3">
      <c r="C103" s="190" t="s">
        <v>115</v>
      </c>
      <c r="D103" s="191">
        <f>AVERAGE(E91:E94,G91:G94)</f>
        <v>85266130.520685971</v>
      </c>
      <c r="F103" s="127"/>
      <c r="G103" s="192"/>
      <c r="H103" s="107"/>
      <c r="J103" s="193"/>
    </row>
    <row r="104" spans="1:10" ht="18.75" x14ac:dyDescent="0.3">
      <c r="C104" s="157" t="s">
        <v>82</v>
      </c>
      <c r="D104" s="194">
        <f>STDEV(E91:E94,G91:G94)/D103</f>
        <v>1.6778851683063459E-3</v>
      </c>
      <c r="F104" s="127"/>
      <c r="G104" s="184"/>
      <c r="H104" s="107"/>
      <c r="J104" s="193"/>
    </row>
    <row r="105" spans="1:10" ht="19.5" customHeight="1" x14ac:dyDescent="0.3">
      <c r="C105" s="159" t="s">
        <v>18</v>
      </c>
      <c r="D105" s="195">
        <f>COUNT(E91:E94,G91:G94)</f>
        <v>6</v>
      </c>
      <c r="F105" s="127"/>
      <c r="G105" s="184"/>
      <c r="H105" s="107"/>
      <c r="J105" s="193"/>
    </row>
    <row r="106" spans="1:10" ht="19.5" customHeight="1" x14ac:dyDescent="0.3">
      <c r="A106" s="131"/>
      <c r="B106" s="131"/>
      <c r="C106" s="131"/>
      <c r="D106" s="131"/>
      <c r="E106" s="131"/>
    </row>
    <row r="107" spans="1:10" ht="26.25" customHeight="1" x14ac:dyDescent="0.4">
      <c r="A107" s="80" t="s">
        <v>116</v>
      </c>
      <c r="B107" s="81">
        <v>1000</v>
      </c>
      <c r="C107" s="196" t="s">
        <v>117</v>
      </c>
      <c r="D107" s="197" t="s">
        <v>61</v>
      </c>
      <c r="E107" s="198" t="s">
        <v>118</v>
      </c>
      <c r="F107" s="199" t="s">
        <v>119</v>
      </c>
    </row>
    <row r="108" spans="1:10" ht="26.25" customHeight="1" x14ac:dyDescent="0.4">
      <c r="A108" s="82" t="s">
        <v>120</v>
      </c>
      <c r="B108" s="83">
        <v>1</v>
      </c>
      <c r="C108" s="200">
        <v>1</v>
      </c>
      <c r="D108" s="201">
        <v>83728161</v>
      </c>
      <c r="E108" s="232">
        <f t="shared" ref="E108:E113" si="1">IF(ISBLANK(D108),"-",D108/$D$103*$D$100*$B$116)</f>
        <v>294.58881441683508</v>
      </c>
      <c r="F108" s="202">
        <f t="shared" ref="F108:F113" si="2">IF(ISBLANK(D108), "-", E108/$B$56)</f>
        <v>0.98196271472278363</v>
      </c>
    </row>
    <row r="109" spans="1:10" ht="26.25" customHeight="1" x14ac:dyDescent="0.4">
      <c r="A109" s="82" t="s">
        <v>93</v>
      </c>
      <c r="B109" s="83">
        <v>1</v>
      </c>
      <c r="C109" s="200">
        <v>2</v>
      </c>
      <c r="D109" s="201">
        <v>86773804</v>
      </c>
      <c r="E109" s="233">
        <f t="shared" si="1"/>
        <v>305.30459211684854</v>
      </c>
      <c r="F109" s="203">
        <f t="shared" si="2"/>
        <v>1.0176819737228284</v>
      </c>
    </row>
    <row r="110" spans="1:10" ht="26.25" customHeight="1" x14ac:dyDescent="0.4">
      <c r="A110" s="82" t="s">
        <v>94</v>
      </c>
      <c r="B110" s="83">
        <v>1</v>
      </c>
      <c r="C110" s="200">
        <v>3</v>
      </c>
      <c r="D110" s="201">
        <v>86707539</v>
      </c>
      <c r="E110" s="233">
        <f t="shared" si="1"/>
        <v>305.07144561566912</v>
      </c>
      <c r="F110" s="203">
        <f t="shared" si="2"/>
        <v>1.0169048187188972</v>
      </c>
    </row>
    <row r="111" spans="1:10" ht="26.25" customHeight="1" x14ac:dyDescent="0.4">
      <c r="A111" s="82" t="s">
        <v>95</v>
      </c>
      <c r="B111" s="83">
        <v>1</v>
      </c>
      <c r="C111" s="200">
        <v>4</v>
      </c>
      <c r="D111" s="201">
        <v>83814871</v>
      </c>
      <c r="E111" s="233">
        <f t="shared" si="1"/>
        <v>294.89389452122293</v>
      </c>
      <c r="F111" s="203">
        <f t="shared" si="2"/>
        <v>0.98297964840407648</v>
      </c>
    </row>
    <row r="112" spans="1:10" ht="26.25" customHeight="1" x14ac:dyDescent="0.4">
      <c r="A112" s="82" t="s">
        <v>96</v>
      </c>
      <c r="B112" s="83">
        <v>1</v>
      </c>
      <c r="C112" s="200">
        <v>5</v>
      </c>
      <c r="D112" s="201">
        <v>86019991</v>
      </c>
      <c r="E112" s="233">
        <f t="shared" si="1"/>
        <v>302.65237958393504</v>
      </c>
      <c r="F112" s="203">
        <f t="shared" si="2"/>
        <v>1.0088412652797836</v>
      </c>
    </row>
    <row r="113" spans="1:10" ht="26.25" customHeight="1" x14ac:dyDescent="0.4">
      <c r="A113" s="82" t="s">
        <v>98</v>
      </c>
      <c r="B113" s="83">
        <v>1</v>
      </c>
      <c r="C113" s="204">
        <v>6</v>
      </c>
      <c r="D113" s="205">
        <v>87221481</v>
      </c>
      <c r="E113" s="234">
        <f t="shared" si="1"/>
        <v>306.87969701699899</v>
      </c>
      <c r="F113" s="206">
        <f t="shared" si="2"/>
        <v>1.0229323233899967</v>
      </c>
    </row>
    <row r="114" spans="1:10" ht="26.25" customHeight="1" x14ac:dyDescent="0.4">
      <c r="A114" s="82" t="s">
        <v>99</v>
      </c>
      <c r="B114" s="83">
        <v>1</v>
      </c>
      <c r="C114" s="200"/>
      <c r="D114" s="154"/>
      <c r="E114" s="57"/>
      <c r="F114" s="207"/>
    </row>
    <row r="115" spans="1:10" ht="26.25" customHeight="1" x14ac:dyDescent="0.4">
      <c r="A115" s="82" t="s">
        <v>100</v>
      </c>
      <c r="B115" s="83">
        <v>1</v>
      </c>
      <c r="C115" s="200"/>
      <c r="D115" s="208" t="s">
        <v>69</v>
      </c>
      <c r="E115" s="236">
        <f>AVERAGE(E108:E113)</f>
        <v>301.56513721191828</v>
      </c>
      <c r="F115" s="209">
        <f>AVERAGE(F108:F113)</f>
        <v>1.0052171240397276</v>
      </c>
    </row>
    <row r="116" spans="1:10" ht="27" customHeight="1" x14ac:dyDescent="0.4">
      <c r="A116" s="82" t="s">
        <v>101</v>
      </c>
      <c r="B116" s="113">
        <f>(B115/B114)*(B113/B112)*(B111/B110)*(B109/B108)*B107</f>
        <v>1000</v>
      </c>
      <c r="C116" s="210"/>
      <c r="D116" s="173" t="s">
        <v>82</v>
      </c>
      <c r="E116" s="211">
        <f>STDEV(E108:E113)/E115</f>
        <v>1.8094661913297887E-2</v>
      </c>
      <c r="F116" s="211">
        <f>STDEV(F108:F113)/F115</f>
        <v>1.8094661913297901E-2</v>
      </c>
      <c r="I116" s="57"/>
    </row>
    <row r="117" spans="1:10" ht="27" customHeight="1" x14ac:dyDescent="0.4">
      <c r="A117" s="623" t="s">
        <v>76</v>
      </c>
      <c r="B117" s="624"/>
      <c r="C117" s="212"/>
      <c r="D117" s="213" t="s">
        <v>18</v>
      </c>
      <c r="E117" s="214">
        <f>COUNT(E108:E113)</f>
        <v>6</v>
      </c>
      <c r="F117" s="214">
        <f>COUNT(F108:F113)</f>
        <v>6</v>
      </c>
      <c r="I117" s="57"/>
      <c r="J117" s="193"/>
    </row>
    <row r="118" spans="1:10" ht="19.5" customHeight="1" x14ac:dyDescent="0.3">
      <c r="A118" s="625"/>
      <c r="B118" s="626"/>
      <c r="C118" s="57"/>
      <c r="D118" s="57"/>
      <c r="E118" s="57"/>
      <c r="F118" s="154"/>
      <c r="G118" s="57"/>
      <c r="H118" s="57"/>
      <c r="I118" s="57"/>
    </row>
    <row r="119" spans="1:10" ht="18.75" x14ac:dyDescent="0.3">
      <c r="A119" s="223"/>
      <c r="B119" s="78"/>
      <c r="C119" s="57"/>
      <c r="D119" s="57"/>
      <c r="E119" s="57"/>
      <c r="F119" s="154"/>
      <c r="G119" s="57"/>
      <c r="H119" s="57"/>
      <c r="I119" s="57"/>
    </row>
    <row r="120" spans="1:10" ht="26.25" customHeight="1" x14ac:dyDescent="0.4">
      <c r="A120" s="66" t="s">
        <v>104</v>
      </c>
      <c r="B120" s="161" t="s">
        <v>121</v>
      </c>
      <c r="C120" s="635" t="str">
        <f>B20</f>
        <v>Tenofovir Disoproxil Fumarate 300mg, Lamivudine 300mg &amp; Efavirenz 600mg tablets</v>
      </c>
      <c r="D120" s="635"/>
      <c r="E120" s="162" t="s">
        <v>122</v>
      </c>
      <c r="F120" s="162"/>
      <c r="G120" s="163">
        <f>F115</f>
        <v>1.0052171240397276</v>
      </c>
      <c r="H120" s="57"/>
      <c r="I120" s="57"/>
    </row>
    <row r="121" spans="1:10" ht="19.5" customHeight="1" x14ac:dyDescent="0.3">
      <c r="A121" s="215"/>
      <c r="B121" s="215"/>
      <c r="C121" s="216"/>
      <c r="D121" s="216"/>
      <c r="E121" s="216"/>
      <c r="F121" s="216"/>
      <c r="G121" s="216"/>
      <c r="H121" s="216"/>
    </row>
    <row r="122" spans="1:10" ht="18.75" x14ac:dyDescent="0.3">
      <c r="B122" s="636" t="s">
        <v>24</v>
      </c>
      <c r="C122" s="636"/>
      <c r="E122" s="168" t="s">
        <v>25</v>
      </c>
      <c r="F122" s="217"/>
      <c r="G122" s="636" t="s">
        <v>26</v>
      </c>
      <c r="H122" s="636"/>
    </row>
    <row r="123" spans="1:10" ht="69.95" customHeight="1" x14ac:dyDescent="0.3">
      <c r="A123" s="218" t="s">
        <v>27</v>
      </c>
      <c r="B123" s="219"/>
      <c r="C123" s="219"/>
      <c r="E123" s="219"/>
      <c r="F123" s="57"/>
      <c r="G123" s="220"/>
      <c r="H123" s="220"/>
    </row>
    <row r="124" spans="1:10" ht="69.95" customHeight="1" x14ac:dyDescent="0.3">
      <c r="A124" s="218" t="s">
        <v>28</v>
      </c>
      <c r="B124" s="221"/>
      <c r="C124" s="221"/>
      <c r="E124" s="221"/>
      <c r="F124" s="57"/>
      <c r="G124" s="222"/>
      <c r="H124" s="222"/>
    </row>
    <row r="125" spans="1:10" ht="18.75" x14ac:dyDescent="0.3">
      <c r="A125" s="153"/>
      <c r="B125" s="153"/>
      <c r="C125" s="154"/>
      <c r="D125" s="154"/>
      <c r="E125" s="154"/>
      <c r="F125" s="158"/>
      <c r="G125" s="154"/>
      <c r="H125" s="154"/>
      <c r="I125" s="57"/>
    </row>
    <row r="126" spans="1:10" ht="18.75" x14ac:dyDescent="0.3">
      <c r="A126" s="153"/>
      <c r="B126" s="153"/>
      <c r="C126" s="154"/>
      <c r="D126" s="154"/>
      <c r="E126" s="154"/>
      <c r="F126" s="158"/>
      <c r="G126" s="154"/>
      <c r="H126" s="154"/>
      <c r="I126" s="57"/>
    </row>
    <row r="127" spans="1:10" ht="18.75" x14ac:dyDescent="0.3">
      <c r="A127" s="153"/>
      <c r="B127" s="153"/>
      <c r="C127" s="154"/>
      <c r="D127" s="154"/>
      <c r="E127" s="154"/>
      <c r="F127" s="158"/>
      <c r="G127" s="154"/>
      <c r="H127" s="154"/>
      <c r="I127" s="57"/>
    </row>
    <row r="128" spans="1:10" ht="18.75" x14ac:dyDescent="0.3">
      <c r="A128" s="153"/>
      <c r="B128" s="153"/>
      <c r="C128" s="154"/>
      <c r="D128" s="154"/>
      <c r="E128" s="154"/>
      <c r="F128" s="158"/>
      <c r="G128" s="154"/>
      <c r="H128" s="154"/>
      <c r="I128" s="57"/>
    </row>
    <row r="129" spans="1:9" ht="18.75" x14ac:dyDescent="0.3">
      <c r="A129" s="153"/>
      <c r="B129" s="153"/>
      <c r="C129" s="154"/>
      <c r="D129" s="154"/>
      <c r="E129" s="154"/>
      <c r="F129" s="158"/>
      <c r="G129" s="154"/>
      <c r="H129" s="154"/>
      <c r="I129" s="57"/>
    </row>
    <row r="130" spans="1:9" ht="18.75" x14ac:dyDescent="0.3">
      <c r="A130" s="153"/>
      <c r="B130" s="153"/>
      <c r="C130" s="154"/>
      <c r="D130" s="154"/>
      <c r="E130" s="154"/>
      <c r="F130" s="158"/>
      <c r="G130" s="154"/>
      <c r="H130" s="154"/>
      <c r="I130" s="57"/>
    </row>
    <row r="131" spans="1:9" ht="18.75" x14ac:dyDescent="0.3">
      <c r="A131" s="153"/>
      <c r="B131" s="153"/>
      <c r="C131" s="154"/>
      <c r="D131" s="154"/>
      <c r="E131" s="154"/>
      <c r="F131" s="158"/>
      <c r="G131" s="154"/>
      <c r="H131" s="154"/>
      <c r="I131" s="57"/>
    </row>
    <row r="132" spans="1:9" ht="18.75" x14ac:dyDescent="0.3">
      <c r="A132" s="153"/>
      <c r="B132" s="153"/>
      <c r="C132" s="154"/>
      <c r="D132" s="154"/>
      <c r="E132" s="154"/>
      <c r="F132" s="158"/>
      <c r="G132" s="154"/>
      <c r="H132" s="154"/>
      <c r="I132" s="57"/>
    </row>
    <row r="133" spans="1:9" ht="18.75" x14ac:dyDescent="0.3">
      <c r="A133" s="153"/>
      <c r="B133" s="153"/>
      <c r="C133" s="154"/>
      <c r="D133" s="154"/>
      <c r="E133" s="154"/>
      <c r="F133" s="158"/>
      <c r="G133" s="154"/>
      <c r="H133" s="154"/>
      <c r="I133" s="5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6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3" t="s">
        <v>43</v>
      </c>
      <c r="B1" s="633"/>
      <c r="C1" s="633"/>
      <c r="D1" s="633"/>
      <c r="E1" s="633"/>
      <c r="F1" s="633"/>
      <c r="G1" s="633"/>
      <c r="H1" s="633"/>
      <c r="I1" s="633"/>
    </row>
    <row r="2" spans="1:9" ht="18.75" customHeight="1" x14ac:dyDescent="0.25">
      <c r="A2" s="633"/>
      <c r="B2" s="633"/>
      <c r="C2" s="633"/>
      <c r="D2" s="633"/>
      <c r="E2" s="633"/>
      <c r="F2" s="633"/>
      <c r="G2" s="633"/>
      <c r="H2" s="633"/>
      <c r="I2" s="633"/>
    </row>
    <row r="3" spans="1:9" ht="18.75" customHeight="1" x14ac:dyDescent="0.25">
      <c r="A3" s="633"/>
      <c r="B3" s="633"/>
      <c r="C3" s="633"/>
      <c r="D3" s="633"/>
      <c r="E3" s="633"/>
      <c r="F3" s="633"/>
      <c r="G3" s="633"/>
      <c r="H3" s="633"/>
      <c r="I3" s="633"/>
    </row>
    <row r="4" spans="1:9" ht="18.75" customHeight="1" x14ac:dyDescent="0.25">
      <c r="A4" s="633"/>
      <c r="B4" s="633"/>
      <c r="C4" s="633"/>
      <c r="D4" s="633"/>
      <c r="E4" s="633"/>
      <c r="F4" s="633"/>
      <c r="G4" s="633"/>
      <c r="H4" s="633"/>
      <c r="I4" s="633"/>
    </row>
    <row r="5" spans="1:9" ht="18.75" customHeight="1" x14ac:dyDescent="0.25">
      <c r="A5" s="633"/>
      <c r="B5" s="633"/>
      <c r="C5" s="633"/>
      <c r="D5" s="633"/>
      <c r="E5" s="633"/>
      <c r="F5" s="633"/>
      <c r="G5" s="633"/>
      <c r="H5" s="633"/>
      <c r="I5" s="633"/>
    </row>
    <row r="6" spans="1:9" ht="18.75" customHeight="1" x14ac:dyDescent="0.25">
      <c r="A6" s="633"/>
      <c r="B6" s="633"/>
      <c r="C6" s="633"/>
      <c r="D6" s="633"/>
      <c r="E6" s="633"/>
      <c r="F6" s="633"/>
      <c r="G6" s="633"/>
      <c r="H6" s="633"/>
      <c r="I6" s="633"/>
    </row>
    <row r="7" spans="1:9" ht="18.75" customHeight="1" x14ac:dyDescent="0.25">
      <c r="A7" s="633"/>
      <c r="B7" s="633"/>
      <c r="C7" s="633"/>
      <c r="D7" s="633"/>
      <c r="E7" s="633"/>
      <c r="F7" s="633"/>
      <c r="G7" s="633"/>
      <c r="H7" s="633"/>
      <c r="I7" s="633"/>
    </row>
    <row r="8" spans="1:9" x14ac:dyDescent="0.25">
      <c r="A8" s="634" t="s">
        <v>44</v>
      </c>
      <c r="B8" s="634"/>
      <c r="C8" s="634"/>
      <c r="D8" s="634"/>
      <c r="E8" s="634"/>
      <c r="F8" s="634"/>
      <c r="G8" s="634"/>
      <c r="H8" s="634"/>
      <c r="I8" s="634"/>
    </row>
    <row r="9" spans="1:9" x14ac:dyDescent="0.25">
      <c r="A9" s="634"/>
      <c r="B9" s="634"/>
      <c r="C9" s="634"/>
      <c r="D9" s="634"/>
      <c r="E9" s="634"/>
      <c r="F9" s="634"/>
      <c r="G9" s="634"/>
      <c r="H9" s="634"/>
      <c r="I9" s="634"/>
    </row>
    <row r="10" spans="1:9" x14ac:dyDescent="0.25">
      <c r="A10" s="634"/>
      <c r="B10" s="634"/>
      <c r="C10" s="634"/>
      <c r="D10" s="634"/>
      <c r="E10" s="634"/>
      <c r="F10" s="634"/>
      <c r="G10" s="634"/>
      <c r="H10" s="634"/>
      <c r="I10" s="634"/>
    </row>
    <row r="11" spans="1:9" x14ac:dyDescent="0.25">
      <c r="A11" s="634"/>
      <c r="B11" s="634"/>
      <c r="C11" s="634"/>
      <c r="D11" s="634"/>
      <c r="E11" s="634"/>
      <c r="F11" s="634"/>
      <c r="G11" s="634"/>
      <c r="H11" s="634"/>
      <c r="I11" s="634"/>
    </row>
    <row r="12" spans="1:9" x14ac:dyDescent="0.25">
      <c r="A12" s="634"/>
      <c r="B12" s="634"/>
      <c r="C12" s="634"/>
      <c r="D12" s="634"/>
      <c r="E12" s="634"/>
      <c r="F12" s="634"/>
      <c r="G12" s="634"/>
      <c r="H12" s="634"/>
      <c r="I12" s="634"/>
    </row>
    <row r="13" spans="1:9" x14ac:dyDescent="0.25">
      <c r="A13" s="634"/>
      <c r="B13" s="634"/>
      <c r="C13" s="634"/>
      <c r="D13" s="634"/>
      <c r="E13" s="634"/>
      <c r="F13" s="634"/>
      <c r="G13" s="634"/>
      <c r="H13" s="634"/>
      <c r="I13" s="634"/>
    </row>
    <row r="14" spans="1:9" x14ac:dyDescent="0.25">
      <c r="A14" s="634"/>
      <c r="B14" s="634"/>
      <c r="C14" s="634"/>
      <c r="D14" s="634"/>
      <c r="E14" s="634"/>
      <c r="F14" s="634"/>
      <c r="G14" s="634"/>
      <c r="H14" s="634"/>
      <c r="I14" s="634"/>
    </row>
    <row r="15" spans="1:9" ht="19.5" customHeight="1" x14ac:dyDescent="0.3">
      <c r="A15" s="238"/>
    </row>
    <row r="16" spans="1:9" ht="19.5" customHeight="1" x14ac:dyDescent="0.3">
      <c r="A16" s="606" t="s">
        <v>29</v>
      </c>
      <c r="B16" s="607"/>
      <c r="C16" s="607"/>
      <c r="D16" s="607"/>
      <c r="E16" s="607"/>
      <c r="F16" s="607"/>
      <c r="G16" s="607"/>
      <c r="H16" s="608"/>
    </row>
    <row r="17" spans="1:14" ht="20.25" customHeight="1" x14ac:dyDescent="0.25">
      <c r="A17" s="609" t="s">
        <v>45</v>
      </c>
      <c r="B17" s="609"/>
      <c r="C17" s="609"/>
      <c r="D17" s="609"/>
      <c r="E17" s="609"/>
      <c r="F17" s="609"/>
      <c r="G17" s="609"/>
      <c r="H17" s="609"/>
    </row>
    <row r="18" spans="1:14" ht="26.25" customHeight="1" x14ac:dyDescent="0.4">
      <c r="A18" s="240" t="s">
        <v>31</v>
      </c>
      <c r="B18" s="605" t="s">
        <v>5</v>
      </c>
      <c r="C18" s="605"/>
      <c r="D18" s="406"/>
      <c r="E18" s="241"/>
      <c r="F18" s="242"/>
      <c r="G18" s="242"/>
      <c r="H18" s="242"/>
    </row>
    <row r="19" spans="1:14" ht="26.25" customHeight="1" x14ac:dyDescent="0.4">
      <c r="A19" s="240" t="s">
        <v>32</v>
      </c>
      <c r="B19" s="243" t="s">
        <v>129</v>
      </c>
      <c r="C19" s="419">
        <v>29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33</v>
      </c>
      <c r="B20" s="610" t="s">
        <v>8</v>
      </c>
      <c r="C20" s="610"/>
      <c r="D20" s="242"/>
      <c r="E20" s="242"/>
      <c r="F20" s="242"/>
      <c r="G20" s="242"/>
      <c r="H20" s="242"/>
    </row>
    <row r="21" spans="1:14" ht="26.25" customHeight="1" x14ac:dyDescent="0.4">
      <c r="A21" s="240" t="s">
        <v>34</v>
      </c>
      <c r="B21" s="610" t="s">
        <v>10</v>
      </c>
      <c r="C21" s="610"/>
      <c r="D21" s="610"/>
      <c r="E21" s="610"/>
      <c r="F21" s="610"/>
      <c r="G21" s="610"/>
      <c r="H21" s="610"/>
      <c r="I21" s="244"/>
    </row>
    <row r="22" spans="1:14" ht="26.25" customHeight="1" x14ac:dyDescent="0.4">
      <c r="A22" s="240" t="s">
        <v>35</v>
      </c>
      <c r="B22" s="706">
        <v>42506.469143518516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36</v>
      </c>
      <c r="B23" s="706">
        <v>42510.469143518516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605" t="s">
        <v>125</v>
      </c>
      <c r="C26" s="605"/>
    </row>
    <row r="27" spans="1:14" ht="26.25" customHeight="1" x14ac:dyDescent="0.4">
      <c r="A27" s="248" t="s">
        <v>46</v>
      </c>
      <c r="B27" s="611" t="s">
        <v>126</v>
      </c>
      <c r="C27" s="611"/>
    </row>
    <row r="28" spans="1:14" ht="27" customHeight="1" x14ac:dyDescent="0.4">
      <c r="A28" s="248" t="s">
        <v>6</v>
      </c>
      <c r="B28" s="249">
        <v>98.8</v>
      </c>
    </row>
    <row r="29" spans="1:14" s="14" customFormat="1" ht="27" customHeight="1" x14ac:dyDescent="0.4">
      <c r="A29" s="248" t="s">
        <v>47</v>
      </c>
      <c r="B29" s="250">
        <v>0</v>
      </c>
      <c r="C29" s="612" t="s">
        <v>48</v>
      </c>
      <c r="D29" s="613"/>
      <c r="E29" s="613"/>
      <c r="F29" s="613"/>
      <c r="G29" s="614"/>
      <c r="I29" s="251"/>
      <c r="J29" s="251"/>
      <c r="K29" s="251"/>
      <c r="L29" s="251"/>
    </row>
    <row r="30" spans="1:14" s="14" customFormat="1" ht="19.5" customHeight="1" x14ac:dyDescent="0.3">
      <c r="A30" s="248" t="s">
        <v>49</v>
      </c>
      <c r="B30" s="252">
        <f>B28-B29</f>
        <v>98.8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14" customFormat="1" ht="27" customHeight="1" x14ac:dyDescent="0.4">
      <c r="A31" s="248" t="s">
        <v>50</v>
      </c>
      <c r="B31" s="255">
        <v>1</v>
      </c>
      <c r="C31" s="615" t="s">
        <v>51</v>
      </c>
      <c r="D31" s="616"/>
      <c r="E31" s="616"/>
      <c r="F31" s="616"/>
      <c r="G31" s="616"/>
      <c r="H31" s="617"/>
      <c r="I31" s="251"/>
      <c r="J31" s="251"/>
      <c r="K31" s="251"/>
      <c r="L31" s="251"/>
    </row>
    <row r="32" spans="1:14" s="14" customFormat="1" ht="27" customHeight="1" x14ac:dyDescent="0.4">
      <c r="A32" s="248" t="s">
        <v>52</v>
      </c>
      <c r="B32" s="255">
        <v>1</v>
      </c>
      <c r="C32" s="615" t="s">
        <v>53</v>
      </c>
      <c r="D32" s="616"/>
      <c r="E32" s="616"/>
      <c r="F32" s="616"/>
      <c r="G32" s="616"/>
      <c r="H32" s="617"/>
      <c r="I32" s="251"/>
      <c r="J32" s="251"/>
      <c r="K32" s="251"/>
      <c r="L32" s="256"/>
      <c r="M32" s="256"/>
      <c r="N32" s="257"/>
    </row>
    <row r="33" spans="1:14" s="14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14" customFormat="1" ht="18.75" x14ac:dyDescent="0.3">
      <c r="A34" s="248" t="s">
        <v>54</v>
      </c>
      <c r="B34" s="260">
        <f>B31/B32</f>
        <v>1</v>
      </c>
      <c r="C34" s="239" t="s">
        <v>55</v>
      </c>
      <c r="D34" s="239"/>
      <c r="E34" s="239"/>
      <c r="F34" s="239"/>
      <c r="G34" s="239"/>
      <c r="I34" s="251"/>
      <c r="J34" s="251"/>
      <c r="K34" s="251"/>
      <c r="L34" s="256"/>
      <c r="M34" s="256"/>
      <c r="N34" s="257"/>
    </row>
    <row r="35" spans="1:14" s="14" customFormat="1" ht="19.5" customHeight="1" x14ac:dyDescent="0.3">
      <c r="A35" s="248"/>
      <c r="B35" s="252"/>
      <c r="G35" s="239"/>
      <c r="I35" s="251"/>
      <c r="J35" s="251"/>
      <c r="K35" s="251"/>
      <c r="L35" s="256"/>
      <c r="M35" s="256"/>
      <c r="N35" s="257"/>
    </row>
    <row r="36" spans="1:14" s="14" customFormat="1" ht="27" customHeight="1" x14ac:dyDescent="0.4">
      <c r="A36" s="261" t="s">
        <v>56</v>
      </c>
      <c r="B36" s="262">
        <v>25</v>
      </c>
      <c r="C36" s="239"/>
      <c r="D36" s="618" t="s">
        <v>57</v>
      </c>
      <c r="E36" s="619"/>
      <c r="F36" s="618" t="s">
        <v>58</v>
      </c>
      <c r="G36" s="620"/>
      <c r="J36" s="251"/>
      <c r="K36" s="251"/>
      <c r="L36" s="256"/>
      <c r="M36" s="256"/>
      <c r="N36" s="257"/>
    </row>
    <row r="37" spans="1:14" s="14" customFormat="1" ht="27" customHeight="1" x14ac:dyDescent="0.4">
      <c r="A37" s="263" t="s">
        <v>59</v>
      </c>
      <c r="B37" s="264">
        <v>5</v>
      </c>
      <c r="C37" s="265" t="s">
        <v>60</v>
      </c>
      <c r="D37" s="266" t="s">
        <v>61</v>
      </c>
      <c r="E37" s="267" t="s">
        <v>62</v>
      </c>
      <c r="F37" s="266" t="s">
        <v>61</v>
      </c>
      <c r="G37" s="268" t="s">
        <v>62</v>
      </c>
      <c r="I37" s="269" t="s">
        <v>63</v>
      </c>
      <c r="J37" s="251"/>
      <c r="K37" s="251"/>
      <c r="L37" s="256"/>
      <c r="M37" s="256"/>
      <c r="N37" s="257"/>
    </row>
    <row r="38" spans="1:14" s="14" customFormat="1" ht="26.25" customHeight="1" x14ac:dyDescent="0.4">
      <c r="A38" s="263" t="s">
        <v>64</v>
      </c>
      <c r="B38" s="264">
        <v>50</v>
      </c>
      <c r="C38" s="270">
        <v>1</v>
      </c>
      <c r="D38" s="271">
        <v>13844640</v>
      </c>
      <c r="E38" s="272">
        <f>IF(ISBLANK(D38),"-",$D$48/$D$45*D38)</f>
        <v>12256087.628805138</v>
      </c>
      <c r="F38" s="271">
        <v>13501422</v>
      </c>
      <c r="G38" s="273">
        <f>IF(ISBLANK(F38),"-",$D$48/$F$45*F38)</f>
        <v>12259635.361176221</v>
      </c>
      <c r="I38" s="274"/>
      <c r="J38" s="251"/>
      <c r="K38" s="251"/>
      <c r="L38" s="256"/>
      <c r="M38" s="256"/>
      <c r="N38" s="257"/>
    </row>
    <row r="39" spans="1:14" s="14" customFormat="1" ht="26.25" customHeight="1" x14ac:dyDescent="0.4">
      <c r="A39" s="263" t="s">
        <v>65</v>
      </c>
      <c r="B39" s="264">
        <v>1</v>
      </c>
      <c r="C39" s="275">
        <v>2</v>
      </c>
      <c r="D39" s="276">
        <v>13827488</v>
      </c>
      <c r="E39" s="277">
        <f>IF(ISBLANK(D39),"-",$D$48/$D$45*D39)</f>
        <v>12240903.672052976</v>
      </c>
      <c r="F39" s="276">
        <v>13546810</v>
      </c>
      <c r="G39" s="278">
        <f>IF(ISBLANK(F39),"-",$D$48/$F$45*F39)</f>
        <v>12300848.822230402</v>
      </c>
      <c r="I39" s="622">
        <f>ABS((F43/D43*D42)-F42)/D42</f>
        <v>5.6664264541834578E-3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66</v>
      </c>
      <c r="B40" s="264">
        <v>1</v>
      </c>
      <c r="C40" s="275">
        <v>3</v>
      </c>
      <c r="D40" s="276">
        <v>13842502</v>
      </c>
      <c r="E40" s="277">
        <f>IF(ISBLANK(D40),"-",$D$48/$D$45*D40)</f>
        <v>12254194.945763154</v>
      </c>
      <c r="F40" s="276">
        <v>13660746</v>
      </c>
      <c r="G40" s="278">
        <f>IF(ISBLANK(F40),"-",$D$48/$F$45*F40)</f>
        <v>12404305.614745367</v>
      </c>
      <c r="I40" s="622"/>
      <c r="L40" s="256"/>
      <c r="M40" s="256"/>
      <c r="N40" s="279"/>
    </row>
    <row r="41" spans="1:14" ht="27" customHeight="1" x14ac:dyDescent="0.4">
      <c r="A41" s="263" t="s">
        <v>67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68</v>
      </c>
      <c r="B42" s="264">
        <v>1</v>
      </c>
      <c r="C42" s="285" t="s">
        <v>69</v>
      </c>
      <c r="D42" s="286">
        <f>AVERAGE(D38:D41)</f>
        <v>13838210</v>
      </c>
      <c r="E42" s="287">
        <f>AVERAGE(E38:E41)</f>
        <v>12250395.415540421</v>
      </c>
      <c r="F42" s="286">
        <f>AVERAGE(F38:F41)</f>
        <v>13569659.333333334</v>
      </c>
      <c r="G42" s="288">
        <f>AVERAGE(G38:G41)</f>
        <v>12321596.599383995</v>
      </c>
      <c r="H42" s="289"/>
    </row>
    <row r="43" spans="1:14" ht="26.25" customHeight="1" x14ac:dyDescent="0.4">
      <c r="A43" s="263" t="s">
        <v>70</v>
      </c>
      <c r="B43" s="264">
        <v>1</v>
      </c>
      <c r="C43" s="290" t="s">
        <v>71</v>
      </c>
      <c r="D43" s="291">
        <v>17.149999999999999</v>
      </c>
      <c r="E43" s="279"/>
      <c r="F43" s="291">
        <v>16.72</v>
      </c>
      <c r="H43" s="289"/>
    </row>
    <row r="44" spans="1:14" ht="26.25" customHeight="1" x14ac:dyDescent="0.4">
      <c r="A44" s="263" t="s">
        <v>72</v>
      </c>
      <c r="B44" s="264">
        <v>1</v>
      </c>
      <c r="C44" s="292" t="s">
        <v>73</v>
      </c>
      <c r="D44" s="293">
        <f>D43*$B$34</f>
        <v>17.149999999999999</v>
      </c>
      <c r="E44" s="294"/>
      <c r="F44" s="293">
        <f>F43*$B$34</f>
        <v>16.72</v>
      </c>
      <c r="H44" s="289"/>
    </row>
    <row r="45" spans="1:14" ht="19.5" customHeight="1" x14ac:dyDescent="0.3">
      <c r="A45" s="263" t="s">
        <v>74</v>
      </c>
      <c r="B45" s="295">
        <f>(B44/B43)*(B42/B41)*(B40/B39)*(B38/B37)*B36</f>
        <v>250</v>
      </c>
      <c r="C45" s="292" t="s">
        <v>75</v>
      </c>
      <c r="D45" s="296">
        <f>D44*$B$30/100</f>
        <v>16.944199999999999</v>
      </c>
      <c r="E45" s="297"/>
      <c r="F45" s="296">
        <f>F44*$B$30/100</f>
        <v>16.519359999999999</v>
      </c>
      <c r="H45" s="289"/>
    </row>
    <row r="46" spans="1:14" ht="19.5" customHeight="1" x14ac:dyDescent="0.3">
      <c r="A46" s="623" t="s">
        <v>76</v>
      </c>
      <c r="B46" s="624"/>
      <c r="C46" s="292" t="s">
        <v>77</v>
      </c>
      <c r="D46" s="298">
        <f>D45/$B$45</f>
        <v>6.7776799999999998E-2</v>
      </c>
      <c r="E46" s="299"/>
      <c r="F46" s="300">
        <f>F45/$B$45</f>
        <v>6.6077440000000001E-2</v>
      </c>
      <c r="H46" s="289"/>
    </row>
    <row r="47" spans="1:14" ht="27" customHeight="1" x14ac:dyDescent="0.4">
      <c r="A47" s="625"/>
      <c r="B47" s="626"/>
      <c r="C47" s="301" t="s">
        <v>78</v>
      </c>
      <c r="D47" s="302">
        <v>0.06</v>
      </c>
      <c r="E47" s="303"/>
      <c r="F47" s="299"/>
      <c r="H47" s="289"/>
    </row>
    <row r="48" spans="1:14" ht="18.75" x14ac:dyDescent="0.3">
      <c r="C48" s="304" t="s">
        <v>79</v>
      </c>
      <c r="D48" s="296">
        <f>D47*$B$45</f>
        <v>15</v>
      </c>
      <c r="F48" s="305"/>
      <c r="H48" s="289"/>
    </row>
    <row r="49" spans="1:12" ht="19.5" customHeight="1" x14ac:dyDescent="0.3">
      <c r="C49" s="306" t="s">
        <v>80</v>
      </c>
      <c r="D49" s="307">
        <f>D48/B34</f>
        <v>15</v>
      </c>
      <c r="F49" s="305"/>
      <c r="H49" s="289"/>
    </row>
    <row r="50" spans="1:12" ht="18.75" x14ac:dyDescent="0.3">
      <c r="C50" s="261" t="s">
        <v>81</v>
      </c>
      <c r="D50" s="308">
        <f>AVERAGE(E38:E41,G38:G41)</f>
        <v>12285996.007462209</v>
      </c>
      <c r="F50" s="309"/>
      <c r="H50" s="289"/>
    </row>
    <row r="51" spans="1:12" ht="18.75" x14ac:dyDescent="0.3">
      <c r="C51" s="263" t="s">
        <v>82</v>
      </c>
      <c r="D51" s="310">
        <f>STDEV(E38:E41,G38:G41)/D50</f>
        <v>4.9978236537349691E-3</v>
      </c>
      <c r="F51" s="309"/>
      <c r="H51" s="289"/>
    </row>
    <row r="52" spans="1:12" ht="19.5" customHeight="1" x14ac:dyDescent="0.3">
      <c r="C52" s="311" t="s">
        <v>18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83</v>
      </c>
    </row>
    <row r="55" spans="1:12" ht="18.75" x14ac:dyDescent="0.3">
      <c r="A55" s="239" t="s">
        <v>84</v>
      </c>
      <c r="B55" s="315" t="str">
        <f>B21</f>
        <v>Each tablet contains Tenofovir Disoproxil Fumarate 300mg, Lamivudine 300mg &amp; Efavirenz 600mg tablets</v>
      </c>
    </row>
    <row r="56" spans="1:12" ht="26.25" customHeight="1" x14ac:dyDescent="0.4">
      <c r="A56" s="316" t="s">
        <v>85</v>
      </c>
      <c r="B56" s="317">
        <v>300</v>
      </c>
      <c r="C56" s="239" t="str">
        <f>B20</f>
        <v>Tenofovir Disoproxil Fumarate 300mg, Lamivudine 300mg &amp; Efavirenz 600mg tablets</v>
      </c>
      <c r="H56" s="318"/>
    </row>
    <row r="57" spans="1:12" ht="18.75" x14ac:dyDescent="0.3">
      <c r="A57" s="315" t="s">
        <v>86</v>
      </c>
      <c r="B57" s="407">
        <f>Uniformity!C46</f>
        <v>1769.7860000000001</v>
      </c>
      <c r="H57" s="318"/>
    </row>
    <row r="58" spans="1:12" ht="19.5" customHeight="1" x14ac:dyDescent="0.3">
      <c r="H58" s="318"/>
    </row>
    <row r="59" spans="1:12" s="14" customFormat="1" ht="27" customHeight="1" x14ac:dyDescent="0.4">
      <c r="A59" s="261" t="s">
        <v>87</v>
      </c>
      <c r="B59" s="262">
        <v>200</v>
      </c>
      <c r="C59" s="239"/>
      <c r="D59" s="319" t="s">
        <v>88</v>
      </c>
      <c r="E59" s="320" t="s">
        <v>60</v>
      </c>
      <c r="F59" s="320" t="s">
        <v>61</v>
      </c>
      <c r="G59" s="320" t="s">
        <v>89</v>
      </c>
      <c r="H59" s="265" t="s">
        <v>90</v>
      </c>
      <c r="L59" s="251"/>
    </row>
    <row r="60" spans="1:12" s="14" customFormat="1" ht="26.25" customHeight="1" x14ac:dyDescent="0.4">
      <c r="A60" s="263" t="s">
        <v>91</v>
      </c>
      <c r="B60" s="264">
        <v>4</v>
      </c>
      <c r="C60" s="627" t="s">
        <v>92</v>
      </c>
      <c r="D60" s="630">
        <v>1758.5</v>
      </c>
      <c r="E60" s="321">
        <v>1</v>
      </c>
      <c r="F60" s="322">
        <v>12288956</v>
      </c>
      <c r="G60" s="408">
        <f>IF(ISBLANK(F60),"-",(F60/$D$50*$D$47*$B$68)*($B$57/$D$60))</f>
        <v>301.99813206146098</v>
      </c>
      <c r="H60" s="323">
        <f t="shared" ref="H60:H71" si="0">IF(ISBLANK(F60),"-",G60/$B$56)</f>
        <v>1.00666044020487</v>
      </c>
      <c r="L60" s="251"/>
    </row>
    <row r="61" spans="1:12" s="14" customFormat="1" ht="26.25" customHeight="1" x14ac:dyDescent="0.4">
      <c r="A61" s="263" t="s">
        <v>93</v>
      </c>
      <c r="B61" s="264">
        <v>100</v>
      </c>
      <c r="C61" s="628"/>
      <c r="D61" s="631"/>
      <c r="E61" s="324">
        <v>2</v>
      </c>
      <c r="F61" s="276">
        <v>12330987</v>
      </c>
      <c r="G61" s="409">
        <f>IF(ISBLANK(F61),"-",(F61/$D$50*$D$47*$B$68)*($B$57/$D$60))</f>
        <v>303.03103375698953</v>
      </c>
      <c r="H61" s="325">
        <f t="shared" si="0"/>
        <v>1.0101034458566318</v>
      </c>
      <c r="L61" s="251"/>
    </row>
    <row r="62" spans="1:12" s="14" customFormat="1" ht="26.25" customHeight="1" x14ac:dyDescent="0.4">
      <c r="A62" s="263" t="s">
        <v>94</v>
      </c>
      <c r="B62" s="264">
        <v>1</v>
      </c>
      <c r="C62" s="628"/>
      <c r="D62" s="631"/>
      <c r="E62" s="324">
        <v>3</v>
      </c>
      <c r="F62" s="326">
        <v>12257715</v>
      </c>
      <c r="G62" s="409">
        <f>IF(ISBLANK(F62),"-",(F62/$D$50*$D$47*$B$68)*($B$57/$D$60))</f>
        <v>301.23039201554235</v>
      </c>
      <c r="H62" s="325">
        <f t="shared" si="0"/>
        <v>1.0041013067184745</v>
      </c>
      <c r="L62" s="251"/>
    </row>
    <row r="63" spans="1:12" ht="27" customHeight="1" x14ac:dyDescent="0.4">
      <c r="A63" s="263" t="s">
        <v>95</v>
      </c>
      <c r="B63" s="264">
        <v>1</v>
      </c>
      <c r="C63" s="629"/>
      <c r="D63" s="632"/>
      <c r="E63" s="327">
        <v>4</v>
      </c>
      <c r="F63" s="328"/>
      <c r="G63" s="409" t="str">
        <f>IF(ISBLANK(F63),"-",(F63/$D$50*$D$47*$B$68)*($B$57/$D$60))</f>
        <v>-</v>
      </c>
      <c r="H63" s="325" t="str">
        <f t="shared" si="0"/>
        <v>-</v>
      </c>
    </row>
    <row r="64" spans="1:12" ht="26.25" customHeight="1" x14ac:dyDescent="0.4">
      <c r="A64" s="263" t="s">
        <v>96</v>
      </c>
      <c r="B64" s="264">
        <v>1</v>
      </c>
      <c r="C64" s="627" t="s">
        <v>97</v>
      </c>
      <c r="D64" s="630">
        <v>1763.59</v>
      </c>
      <c r="E64" s="321">
        <v>1</v>
      </c>
      <c r="F64" s="322">
        <v>12096736</v>
      </c>
      <c r="G64" s="410">
        <f>IF(ISBLANK(F64),"-",(F64/$D$50*$D$47*$B$68)*($B$57/$D$64))</f>
        <v>296.41639097657662</v>
      </c>
      <c r="H64" s="329">
        <f t="shared" si="0"/>
        <v>0.98805463658858872</v>
      </c>
    </row>
    <row r="65" spans="1:8" ht="26.25" customHeight="1" x14ac:dyDescent="0.4">
      <c r="A65" s="263" t="s">
        <v>98</v>
      </c>
      <c r="B65" s="264">
        <v>1</v>
      </c>
      <c r="C65" s="628"/>
      <c r="D65" s="631"/>
      <c r="E65" s="324">
        <v>2</v>
      </c>
      <c r="F65" s="276">
        <v>12162947</v>
      </c>
      <c r="G65" s="411">
        <f>IF(ISBLANK(F65),"-",(F65/$D$50*$D$47*$B$68)*($B$57/$D$64))</f>
        <v>298.03881422057816</v>
      </c>
      <c r="H65" s="330">
        <f t="shared" si="0"/>
        <v>0.99346271406859388</v>
      </c>
    </row>
    <row r="66" spans="1:8" ht="26.25" customHeight="1" x14ac:dyDescent="0.4">
      <c r="A66" s="263" t="s">
        <v>99</v>
      </c>
      <c r="B66" s="264">
        <v>1</v>
      </c>
      <c r="C66" s="628"/>
      <c r="D66" s="631"/>
      <c r="E66" s="324">
        <v>3</v>
      </c>
      <c r="F66" s="276">
        <v>12076374</v>
      </c>
      <c r="G66" s="411">
        <f>IF(ISBLANK(F66),"-",(F66/$D$50*$D$47*$B$68)*($B$57/$D$64))</f>
        <v>295.91744394218114</v>
      </c>
      <c r="H66" s="330">
        <f t="shared" si="0"/>
        <v>0.98639147980727049</v>
      </c>
    </row>
    <row r="67" spans="1:8" ht="27" customHeight="1" x14ac:dyDescent="0.4">
      <c r="A67" s="263" t="s">
        <v>100</v>
      </c>
      <c r="B67" s="264">
        <v>1</v>
      </c>
      <c r="C67" s="629"/>
      <c r="D67" s="632"/>
      <c r="E67" s="327">
        <v>4</v>
      </c>
      <c r="F67" s="328"/>
      <c r="G67" s="412" t="str">
        <f>IF(ISBLANK(F67),"-",(F67/$D$50*$D$47*$B$68)*($B$57/$D$64))</f>
        <v>-</v>
      </c>
      <c r="H67" s="331" t="str">
        <f t="shared" si="0"/>
        <v>-</v>
      </c>
    </row>
    <row r="68" spans="1:8" ht="26.25" customHeight="1" x14ac:dyDescent="0.4">
      <c r="A68" s="263" t="s">
        <v>101</v>
      </c>
      <c r="B68" s="332">
        <f>(B67/B66)*(B65/B64)*(B63/B62)*(B61/B60)*B59</f>
        <v>5000</v>
      </c>
      <c r="C68" s="627" t="s">
        <v>102</v>
      </c>
      <c r="D68" s="630">
        <v>1761.17</v>
      </c>
      <c r="E68" s="321">
        <v>1</v>
      </c>
      <c r="F68" s="322">
        <v>12143505</v>
      </c>
      <c r="G68" s="410">
        <f>IF(ISBLANK(F68),"-",(F68/$D$50*$D$47*$B$68)*($B$57/$D$68))</f>
        <v>297.97128721672817</v>
      </c>
      <c r="H68" s="325">
        <f t="shared" si="0"/>
        <v>0.99323762405576055</v>
      </c>
    </row>
    <row r="69" spans="1:8" ht="27" customHeight="1" x14ac:dyDescent="0.4">
      <c r="A69" s="311" t="s">
        <v>103</v>
      </c>
      <c r="B69" s="333">
        <f>(D47*B68)/B56*B57</f>
        <v>1769.7860000000001</v>
      </c>
      <c r="C69" s="628"/>
      <c r="D69" s="631"/>
      <c r="E69" s="324">
        <v>2</v>
      </c>
      <c r="F69" s="276">
        <v>12158740</v>
      </c>
      <c r="G69" s="411">
        <f>IF(ISBLANK(F69),"-",(F69/$D$50*$D$47*$B$68)*($B$57/$D$68))</f>
        <v>298.34511607097966</v>
      </c>
      <c r="H69" s="325">
        <f t="shared" si="0"/>
        <v>0.99448372023659881</v>
      </c>
    </row>
    <row r="70" spans="1:8" ht="26.25" customHeight="1" x14ac:dyDescent="0.4">
      <c r="A70" s="640" t="s">
        <v>76</v>
      </c>
      <c r="B70" s="641"/>
      <c r="C70" s="628"/>
      <c r="D70" s="631"/>
      <c r="E70" s="324">
        <v>3</v>
      </c>
      <c r="F70" s="276">
        <v>12085558</v>
      </c>
      <c r="G70" s="411">
        <f>IF(ISBLANK(F70),"-",(F70/$D$50*$D$47*$B$68)*($B$57/$D$68))</f>
        <v>296.54941254542467</v>
      </c>
      <c r="H70" s="325">
        <f t="shared" si="0"/>
        <v>0.98849804181808221</v>
      </c>
    </row>
    <row r="71" spans="1:8" ht="27" customHeight="1" x14ac:dyDescent="0.4">
      <c r="A71" s="642"/>
      <c r="B71" s="643"/>
      <c r="C71" s="639"/>
      <c r="D71" s="632"/>
      <c r="E71" s="327">
        <v>4</v>
      </c>
      <c r="F71" s="328"/>
      <c r="G71" s="412" t="str">
        <f>IF(ISBLANK(F71),"-",(F71/$D$50*$D$47*$B$68)*($B$57/$D$68))</f>
        <v>-</v>
      </c>
      <c r="H71" s="334" t="str">
        <f t="shared" si="0"/>
        <v>-</v>
      </c>
    </row>
    <row r="72" spans="1:8" ht="26.25" customHeight="1" x14ac:dyDescent="0.4">
      <c r="A72" s="335"/>
      <c r="B72" s="335"/>
      <c r="C72" s="335"/>
      <c r="D72" s="335"/>
      <c r="E72" s="335"/>
      <c r="F72" s="337" t="s">
        <v>69</v>
      </c>
      <c r="G72" s="417">
        <f>AVERAGE(G60:G71)</f>
        <v>298.83311364516237</v>
      </c>
      <c r="H72" s="338">
        <f>AVERAGE(H60:H71)</f>
        <v>0.99611037881720799</v>
      </c>
    </row>
    <row r="73" spans="1:8" ht="26.25" customHeight="1" x14ac:dyDescent="0.4">
      <c r="C73" s="335"/>
      <c r="D73" s="335"/>
      <c r="E73" s="335"/>
      <c r="F73" s="339" t="s">
        <v>82</v>
      </c>
      <c r="G73" s="413">
        <f>STDEV(G60:G71)/G72</f>
        <v>8.7386812171454317E-3</v>
      </c>
      <c r="H73" s="413">
        <f>STDEV(H60:H71)/H72</f>
        <v>8.7386812171454577E-3</v>
      </c>
    </row>
    <row r="74" spans="1:8" ht="27" customHeight="1" x14ac:dyDescent="0.4">
      <c r="A74" s="335"/>
      <c r="B74" s="335"/>
      <c r="C74" s="336"/>
      <c r="D74" s="336"/>
      <c r="E74" s="340"/>
      <c r="F74" s="341" t="s">
        <v>18</v>
      </c>
      <c r="G74" s="342">
        <f>COUNT(G60:G71)</f>
        <v>9</v>
      </c>
      <c r="H74" s="342">
        <f>COUNT(H60:H71)</f>
        <v>9</v>
      </c>
    </row>
    <row r="76" spans="1:8" ht="26.25" customHeight="1" x14ac:dyDescent="0.4">
      <c r="A76" s="247" t="s">
        <v>104</v>
      </c>
      <c r="B76" s="343" t="s">
        <v>105</v>
      </c>
      <c r="C76" s="635" t="str">
        <f>B20</f>
        <v>Tenofovir Disoproxil Fumarate 300mg, Lamivudine 300mg &amp; Efavirenz 600mg tablets</v>
      </c>
      <c r="D76" s="635"/>
      <c r="E76" s="344" t="s">
        <v>106</v>
      </c>
      <c r="F76" s="344"/>
      <c r="G76" s="345">
        <f>H72</f>
        <v>0.99611037881720799</v>
      </c>
      <c r="H76" s="346"/>
    </row>
    <row r="77" spans="1:8" ht="18.75" x14ac:dyDescent="0.3">
      <c r="A77" s="246" t="s">
        <v>107</v>
      </c>
      <c r="B77" s="246" t="s">
        <v>108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621" t="str">
        <f>B26</f>
        <v>Tenofovir Disoproxil Fumarate</v>
      </c>
      <c r="C79" s="621"/>
    </row>
    <row r="80" spans="1:8" ht="26.25" customHeight="1" x14ac:dyDescent="0.4">
      <c r="A80" s="248" t="s">
        <v>46</v>
      </c>
      <c r="B80" s="621" t="str">
        <f>B27</f>
        <v>T11-6</v>
      </c>
      <c r="C80" s="621"/>
    </row>
    <row r="81" spans="1:12" ht="27" customHeight="1" x14ac:dyDescent="0.4">
      <c r="A81" s="248" t="s">
        <v>6</v>
      </c>
      <c r="B81" s="347">
        <f>B28</f>
        <v>98.8</v>
      </c>
    </row>
    <row r="82" spans="1:12" s="14" customFormat="1" ht="27" customHeight="1" x14ac:dyDescent="0.4">
      <c r="A82" s="248" t="s">
        <v>47</v>
      </c>
      <c r="B82" s="250">
        <v>0</v>
      </c>
      <c r="C82" s="612" t="s">
        <v>48</v>
      </c>
      <c r="D82" s="613"/>
      <c r="E82" s="613"/>
      <c r="F82" s="613"/>
      <c r="G82" s="614"/>
      <c r="I82" s="251"/>
      <c r="J82" s="251"/>
      <c r="K82" s="251"/>
      <c r="L82" s="251"/>
    </row>
    <row r="83" spans="1:12" s="14" customFormat="1" ht="19.5" customHeight="1" x14ac:dyDescent="0.3">
      <c r="A83" s="248" t="s">
        <v>49</v>
      </c>
      <c r="B83" s="252">
        <f>B81-B82</f>
        <v>98.8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14" customFormat="1" ht="27" customHeight="1" x14ac:dyDescent="0.4">
      <c r="A84" s="248" t="s">
        <v>50</v>
      </c>
      <c r="B84" s="255">
        <v>1</v>
      </c>
      <c r="C84" s="615" t="s">
        <v>109</v>
      </c>
      <c r="D84" s="616"/>
      <c r="E84" s="616"/>
      <c r="F84" s="616"/>
      <c r="G84" s="616"/>
      <c r="H84" s="617"/>
      <c r="I84" s="251"/>
      <c r="J84" s="251"/>
      <c r="K84" s="251"/>
      <c r="L84" s="251"/>
    </row>
    <row r="85" spans="1:12" s="14" customFormat="1" ht="27" customHeight="1" x14ac:dyDescent="0.4">
      <c r="A85" s="248" t="s">
        <v>52</v>
      </c>
      <c r="B85" s="255">
        <v>1</v>
      </c>
      <c r="C85" s="615" t="s">
        <v>110</v>
      </c>
      <c r="D85" s="616"/>
      <c r="E85" s="616"/>
      <c r="F85" s="616"/>
      <c r="G85" s="616"/>
      <c r="H85" s="617"/>
      <c r="I85" s="251"/>
      <c r="J85" s="251"/>
      <c r="K85" s="251"/>
      <c r="L85" s="251"/>
    </row>
    <row r="86" spans="1:12" s="14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14" customFormat="1" ht="18.75" x14ac:dyDescent="0.3">
      <c r="A87" s="248" t="s">
        <v>54</v>
      </c>
      <c r="B87" s="260">
        <f>B84/B85</f>
        <v>1</v>
      </c>
      <c r="C87" s="239" t="s">
        <v>55</v>
      </c>
      <c r="D87" s="239"/>
      <c r="E87" s="239"/>
      <c r="F87" s="239"/>
      <c r="G87" s="239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56</v>
      </c>
      <c r="B89" s="262">
        <v>25</v>
      </c>
      <c r="D89" s="348" t="s">
        <v>57</v>
      </c>
      <c r="E89" s="349"/>
      <c r="F89" s="618" t="s">
        <v>58</v>
      </c>
      <c r="G89" s="620"/>
    </row>
    <row r="90" spans="1:12" ht="27" customHeight="1" x14ac:dyDescent="0.4">
      <c r="A90" s="263" t="s">
        <v>59</v>
      </c>
      <c r="B90" s="264">
        <v>10</v>
      </c>
      <c r="C90" s="350" t="s">
        <v>60</v>
      </c>
      <c r="D90" s="266" t="s">
        <v>61</v>
      </c>
      <c r="E90" s="267" t="s">
        <v>62</v>
      </c>
      <c r="F90" s="266" t="s">
        <v>61</v>
      </c>
      <c r="G90" s="351" t="s">
        <v>62</v>
      </c>
      <c r="I90" s="269" t="s">
        <v>63</v>
      </c>
    </row>
    <row r="91" spans="1:12" ht="26.25" customHeight="1" x14ac:dyDescent="0.4">
      <c r="A91" s="263" t="s">
        <v>64</v>
      </c>
      <c r="B91" s="264">
        <v>20</v>
      </c>
      <c r="C91" s="352">
        <v>1</v>
      </c>
      <c r="D91" s="696">
        <v>68567876</v>
      </c>
      <c r="E91" s="272">
        <f>IF(ISBLANK(D91),"-",$D$101/$D$98*D91)</f>
        <v>60700306.889673166</v>
      </c>
      <c r="F91" s="696">
        <v>66753082</v>
      </c>
      <c r="G91" s="273">
        <f>IF(ISBLANK(F91),"-",$D$101/$F$98*F91)</f>
        <v>60613500.159812495</v>
      </c>
      <c r="I91" s="274"/>
    </row>
    <row r="92" spans="1:12" ht="26.25" customHeight="1" x14ac:dyDescent="0.4">
      <c r="A92" s="263" t="s">
        <v>65</v>
      </c>
      <c r="B92" s="264">
        <v>1</v>
      </c>
      <c r="C92" s="336">
        <v>2</v>
      </c>
      <c r="D92" s="697">
        <v>68622588</v>
      </c>
      <c r="E92" s="277">
        <f>IF(ISBLANK(D92),"-",$D$101/$D$98*D92)</f>
        <v>60748741.162167594</v>
      </c>
      <c r="F92" s="697">
        <v>66866342</v>
      </c>
      <c r="G92" s="278">
        <f>IF(ISBLANK(F92),"-",$D$101/$F$98*F92)</f>
        <v>60716343.127094515</v>
      </c>
      <c r="I92" s="622">
        <f>ABS((F96/D96*D95)-F95)/D95</f>
        <v>7.8818996720196209E-5</v>
      </c>
    </row>
    <row r="93" spans="1:12" ht="26.25" customHeight="1" x14ac:dyDescent="0.4">
      <c r="A93" s="263" t="s">
        <v>66</v>
      </c>
      <c r="B93" s="264">
        <v>1</v>
      </c>
      <c r="C93" s="336">
        <v>3</v>
      </c>
      <c r="D93" s="697">
        <v>68559442</v>
      </c>
      <c r="E93" s="277">
        <f>IF(ISBLANK(D93),"-",$D$101/$D$98*D93)</f>
        <v>60692840.618028596</v>
      </c>
      <c r="F93" s="697">
        <v>66955521</v>
      </c>
      <c r="G93" s="278">
        <f>IF(ISBLANK(F93),"-",$D$101/$F$98*F93)</f>
        <v>60797319.93249134</v>
      </c>
      <c r="I93" s="622"/>
    </row>
    <row r="94" spans="1:12" ht="27" customHeight="1" x14ac:dyDescent="0.4">
      <c r="A94" s="263" t="s">
        <v>67</v>
      </c>
      <c r="B94" s="264">
        <v>1</v>
      </c>
      <c r="C94" s="353">
        <v>4</v>
      </c>
      <c r="D94" s="281"/>
      <c r="E94" s="282" t="str">
        <f>IF(ISBLANK(D94),"-",$D$101/$D$98*D94)</f>
        <v>-</v>
      </c>
      <c r="F94" s="354"/>
      <c r="G94" s="283" t="str">
        <f>IF(ISBLANK(F94),"-",$D$101/$F$98*F94)</f>
        <v>-</v>
      </c>
      <c r="I94" s="284"/>
    </row>
    <row r="95" spans="1:12" ht="27" customHeight="1" x14ac:dyDescent="0.4">
      <c r="A95" s="263" t="s">
        <v>68</v>
      </c>
      <c r="B95" s="264">
        <v>1</v>
      </c>
      <c r="C95" s="355" t="s">
        <v>69</v>
      </c>
      <c r="D95" s="356">
        <f>AVERAGE(D91:D94)</f>
        <v>68583302</v>
      </c>
      <c r="E95" s="287">
        <f>AVERAGE(E91:E94)</f>
        <v>60713962.889956452</v>
      </c>
      <c r="F95" s="357">
        <f>AVERAGE(F91:F94)</f>
        <v>66858315</v>
      </c>
      <c r="G95" s="358">
        <f>AVERAGE(G91:G94)</f>
        <v>60709054.406466119</v>
      </c>
    </row>
    <row r="96" spans="1:12" ht="26.25" customHeight="1" x14ac:dyDescent="0.4">
      <c r="A96" s="263" t="s">
        <v>70</v>
      </c>
      <c r="B96" s="249">
        <v>1</v>
      </c>
      <c r="C96" s="359" t="s">
        <v>111</v>
      </c>
      <c r="D96" s="360">
        <v>17.149999999999999</v>
      </c>
      <c r="E96" s="279"/>
      <c r="F96" s="291">
        <v>16.72</v>
      </c>
    </row>
    <row r="97" spans="1:10" ht="26.25" customHeight="1" x14ac:dyDescent="0.4">
      <c r="A97" s="263" t="s">
        <v>72</v>
      </c>
      <c r="B97" s="249">
        <v>1</v>
      </c>
      <c r="C97" s="361" t="s">
        <v>112</v>
      </c>
      <c r="D97" s="362">
        <f>D96*$B$87</f>
        <v>17.149999999999999</v>
      </c>
      <c r="E97" s="294"/>
      <c r="F97" s="293">
        <f>F96*$B$87</f>
        <v>16.72</v>
      </c>
    </row>
    <row r="98" spans="1:10" ht="19.5" customHeight="1" x14ac:dyDescent="0.3">
      <c r="A98" s="263" t="s">
        <v>74</v>
      </c>
      <c r="B98" s="363">
        <f>(B97/B96)*(B95/B94)*(B93/B92)*(B91/B90)*B89</f>
        <v>50</v>
      </c>
      <c r="C98" s="361" t="s">
        <v>113</v>
      </c>
      <c r="D98" s="364">
        <f>D97*$B$83/100</f>
        <v>16.944199999999999</v>
      </c>
      <c r="E98" s="297"/>
      <c r="F98" s="296">
        <f>F97*$B$83/100</f>
        <v>16.519359999999999</v>
      </c>
    </row>
    <row r="99" spans="1:10" ht="19.5" customHeight="1" x14ac:dyDescent="0.3">
      <c r="A99" s="623" t="s">
        <v>76</v>
      </c>
      <c r="B99" s="637"/>
      <c r="C99" s="361" t="s">
        <v>114</v>
      </c>
      <c r="D99" s="365">
        <f>D98/$B$98</f>
        <v>0.33888399999999996</v>
      </c>
      <c r="E99" s="297"/>
      <c r="F99" s="300">
        <f>F98/$B$98</f>
        <v>0.33038719999999999</v>
      </c>
      <c r="G99" s="366"/>
      <c r="H99" s="289"/>
    </row>
    <row r="100" spans="1:10" ht="19.5" customHeight="1" x14ac:dyDescent="0.3">
      <c r="A100" s="625"/>
      <c r="B100" s="638"/>
      <c r="C100" s="361" t="s">
        <v>78</v>
      </c>
      <c r="D100" s="367">
        <f>$B$56/$B$116</f>
        <v>0.3</v>
      </c>
      <c r="F100" s="305"/>
      <c r="G100" s="368"/>
      <c r="H100" s="289"/>
    </row>
    <row r="101" spans="1:10" ht="18.75" x14ac:dyDescent="0.3">
      <c r="C101" s="361" t="s">
        <v>79</v>
      </c>
      <c r="D101" s="362">
        <f>D100*$B$98</f>
        <v>15</v>
      </c>
      <c r="F101" s="305"/>
      <c r="G101" s="366"/>
      <c r="H101" s="289"/>
    </row>
    <row r="102" spans="1:10" ht="19.5" customHeight="1" x14ac:dyDescent="0.3">
      <c r="C102" s="369" t="s">
        <v>80</v>
      </c>
      <c r="D102" s="370">
        <f>D101/B34</f>
        <v>15</v>
      </c>
      <c r="F102" s="309"/>
      <c r="G102" s="366"/>
      <c r="H102" s="289"/>
      <c r="J102" s="371"/>
    </row>
    <row r="103" spans="1:10" ht="18.75" x14ac:dyDescent="0.3">
      <c r="C103" s="372" t="s">
        <v>115</v>
      </c>
      <c r="D103" s="373">
        <f>AVERAGE(E91:E94,G91:G94)</f>
        <v>60711508.648211293</v>
      </c>
      <c r="F103" s="309"/>
      <c r="G103" s="374"/>
      <c r="H103" s="289"/>
      <c r="J103" s="375"/>
    </row>
    <row r="104" spans="1:10" ht="18.75" x14ac:dyDescent="0.3">
      <c r="C104" s="339" t="s">
        <v>82</v>
      </c>
      <c r="D104" s="376">
        <f>STDEV(E91:E94,G91:G94)/D103</f>
        <v>1.0114221216488953E-3</v>
      </c>
      <c r="F104" s="309"/>
      <c r="G104" s="366"/>
      <c r="H104" s="289"/>
      <c r="J104" s="375"/>
    </row>
    <row r="105" spans="1:10" ht="19.5" customHeight="1" x14ac:dyDescent="0.3">
      <c r="C105" s="341" t="s">
        <v>18</v>
      </c>
      <c r="D105" s="377">
        <f>COUNT(E91:E94,G91:G94)</f>
        <v>6</v>
      </c>
      <c r="F105" s="309"/>
      <c r="G105" s="366"/>
      <c r="H105" s="289"/>
      <c r="J105" s="375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6.25" customHeight="1" x14ac:dyDescent="0.4">
      <c r="A107" s="261" t="s">
        <v>116</v>
      </c>
      <c r="B107" s="262">
        <v>1000</v>
      </c>
      <c r="C107" s="378" t="s">
        <v>117</v>
      </c>
      <c r="D107" s="379" t="s">
        <v>61</v>
      </c>
      <c r="E107" s="380" t="s">
        <v>118</v>
      </c>
      <c r="F107" s="381" t="s">
        <v>119</v>
      </c>
    </row>
    <row r="108" spans="1:10" ht="26.25" customHeight="1" x14ac:dyDescent="0.4">
      <c r="A108" s="263" t="s">
        <v>120</v>
      </c>
      <c r="B108" s="264">
        <v>1</v>
      </c>
      <c r="C108" s="382">
        <v>1</v>
      </c>
      <c r="D108" s="383">
        <v>58625045</v>
      </c>
      <c r="E108" s="414">
        <f t="shared" ref="E108:E113" si="1">IF(ISBLANK(D108),"-",D108/$D$103*$D$100*$B$116)</f>
        <v>289.68994333363798</v>
      </c>
      <c r="F108" s="384">
        <f t="shared" ref="F108:F113" si="2">IF(ISBLANK(D108), "-", E108/$B$56)</f>
        <v>0.96563314444546</v>
      </c>
    </row>
    <row r="109" spans="1:10" ht="26.25" customHeight="1" x14ac:dyDescent="0.4">
      <c r="A109" s="263" t="s">
        <v>93</v>
      </c>
      <c r="B109" s="264">
        <v>1</v>
      </c>
      <c r="C109" s="382">
        <v>2</v>
      </c>
      <c r="D109" s="383">
        <v>60270755</v>
      </c>
      <c r="E109" s="415">
        <f t="shared" si="1"/>
        <v>297.82205882529519</v>
      </c>
      <c r="F109" s="385">
        <f t="shared" si="2"/>
        <v>0.99274019608431729</v>
      </c>
    </row>
    <row r="110" spans="1:10" ht="26.25" customHeight="1" x14ac:dyDescent="0.4">
      <c r="A110" s="263" t="s">
        <v>94</v>
      </c>
      <c r="B110" s="264">
        <v>1</v>
      </c>
      <c r="C110" s="382">
        <v>3</v>
      </c>
      <c r="D110" s="383">
        <v>59819370</v>
      </c>
      <c r="E110" s="415">
        <f t="shared" si="1"/>
        <v>295.59158386239062</v>
      </c>
      <c r="F110" s="385">
        <f t="shared" si="2"/>
        <v>0.98530527954130209</v>
      </c>
    </row>
    <row r="111" spans="1:10" ht="26.25" customHeight="1" x14ac:dyDescent="0.4">
      <c r="A111" s="263" t="s">
        <v>95</v>
      </c>
      <c r="B111" s="264">
        <v>1</v>
      </c>
      <c r="C111" s="382">
        <v>4</v>
      </c>
      <c r="D111" s="383">
        <v>58834932</v>
      </c>
      <c r="E111" s="415">
        <f t="shared" si="1"/>
        <v>290.72707947803605</v>
      </c>
      <c r="F111" s="385">
        <f t="shared" si="2"/>
        <v>0.96909026492678685</v>
      </c>
    </row>
    <row r="112" spans="1:10" ht="26.25" customHeight="1" x14ac:dyDescent="0.4">
      <c r="A112" s="263" t="s">
        <v>96</v>
      </c>
      <c r="B112" s="264">
        <v>1</v>
      </c>
      <c r="C112" s="382">
        <v>5</v>
      </c>
      <c r="D112" s="383">
        <v>59692489</v>
      </c>
      <c r="E112" s="415">
        <f t="shared" si="1"/>
        <v>294.96461377306929</v>
      </c>
      <c r="F112" s="385">
        <f t="shared" si="2"/>
        <v>0.98321537924356428</v>
      </c>
    </row>
    <row r="113" spans="1:10" ht="26.25" customHeight="1" x14ac:dyDescent="0.4">
      <c r="A113" s="263" t="s">
        <v>98</v>
      </c>
      <c r="B113" s="264">
        <v>1</v>
      </c>
      <c r="C113" s="386">
        <v>6</v>
      </c>
      <c r="D113" s="387">
        <v>60382407</v>
      </c>
      <c r="E113" s="416">
        <f t="shared" si="1"/>
        <v>298.37377629609773</v>
      </c>
      <c r="F113" s="388">
        <f t="shared" si="2"/>
        <v>0.99457925432032579</v>
      </c>
    </row>
    <row r="114" spans="1:10" ht="26.25" customHeight="1" x14ac:dyDescent="0.4">
      <c r="A114" s="263" t="s">
        <v>99</v>
      </c>
      <c r="B114" s="264">
        <v>1</v>
      </c>
      <c r="C114" s="382"/>
      <c r="D114" s="336"/>
      <c r="E114" s="238"/>
      <c r="F114" s="389"/>
    </row>
    <row r="115" spans="1:10" ht="26.25" customHeight="1" x14ac:dyDescent="0.4">
      <c r="A115" s="263" t="s">
        <v>100</v>
      </c>
      <c r="B115" s="264">
        <v>1</v>
      </c>
      <c r="C115" s="382"/>
      <c r="D115" s="390" t="s">
        <v>69</v>
      </c>
      <c r="E115" s="418">
        <f>AVERAGE(E108:E113)</f>
        <v>294.52817592808782</v>
      </c>
      <c r="F115" s="391">
        <f>AVERAGE(F108:F113)</f>
        <v>0.98176058642695929</v>
      </c>
    </row>
    <row r="116" spans="1:10" ht="27" customHeight="1" x14ac:dyDescent="0.4">
      <c r="A116" s="263" t="s">
        <v>101</v>
      </c>
      <c r="B116" s="295">
        <f>(B115/B114)*(B113/B112)*(B111/B110)*(B109/B108)*B107</f>
        <v>1000</v>
      </c>
      <c r="C116" s="392"/>
      <c r="D116" s="355" t="s">
        <v>82</v>
      </c>
      <c r="E116" s="393">
        <f>STDEV(E108:E113)/E115</f>
        <v>1.2224490592879885E-2</v>
      </c>
      <c r="F116" s="393">
        <f>STDEV(F108:F113)/F115</f>
        <v>1.2224490592879873E-2</v>
      </c>
      <c r="I116" s="238"/>
    </row>
    <row r="117" spans="1:10" ht="27" customHeight="1" x14ac:dyDescent="0.4">
      <c r="A117" s="623" t="s">
        <v>76</v>
      </c>
      <c r="B117" s="624"/>
      <c r="C117" s="394"/>
      <c r="D117" s="395" t="s">
        <v>18</v>
      </c>
      <c r="E117" s="396">
        <f>COUNT(E108:E113)</f>
        <v>6</v>
      </c>
      <c r="F117" s="396">
        <f>COUNT(F108:F113)</f>
        <v>6</v>
      </c>
      <c r="I117" s="238"/>
      <c r="J117" s="375"/>
    </row>
    <row r="118" spans="1:10" ht="19.5" customHeight="1" x14ac:dyDescent="0.3">
      <c r="A118" s="625"/>
      <c r="B118" s="626"/>
      <c r="C118" s="238"/>
      <c r="D118" s="238"/>
      <c r="E118" s="238"/>
      <c r="F118" s="336"/>
      <c r="G118" s="238"/>
      <c r="H118" s="238"/>
      <c r="I118" s="238"/>
    </row>
    <row r="119" spans="1:10" ht="18.75" x14ac:dyDescent="0.3">
      <c r="A119" s="405"/>
      <c r="B119" s="259"/>
      <c r="C119" s="238"/>
      <c r="D119" s="238"/>
      <c r="E119" s="238"/>
      <c r="F119" s="336"/>
      <c r="G119" s="238"/>
      <c r="H119" s="238"/>
      <c r="I119" s="238"/>
    </row>
    <row r="120" spans="1:10" ht="26.25" customHeight="1" x14ac:dyDescent="0.4">
      <c r="A120" s="247" t="s">
        <v>104</v>
      </c>
      <c r="B120" s="343" t="s">
        <v>121</v>
      </c>
      <c r="C120" s="635" t="str">
        <f>B20</f>
        <v>Tenofovir Disoproxil Fumarate 300mg, Lamivudine 300mg &amp; Efavirenz 600mg tablets</v>
      </c>
      <c r="D120" s="635"/>
      <c r="E120" s="344" t="s">
        <v>122</v>
      </c>
      <c r="F120" s="344"/>
      <c r="G120" s="345">
        <f>F115</f>
        <v>0.98176058642695929</v>
      </c>
      <c r="H120" s="238"/>
      <c r="I120" s="238"/>
    </row>
    <row r="121" spans="1:10" ht="19.5" customHeight="1" x14ac:dyDescent="0.3">
      <c r="A121" s="397"/>
      <c r="B121" s="397"/>
      <c r="C121" s="398"/>
      <c r="D121" s="398"/>
      <c r="E121" s="398"/>
      <c r="F121" s="398"/>
      <c r="G121" s="398"/>
      <c r="H121" s="398"/>
    </row>
    <row r="122" spans="1:10" ht="18.75" x14ac:dyDescent="0.3">
      <c r="B122" s="636" t="s">
        <v>24</v>
      </c>
      <c r="C122" s="636"/>
      <c r="E122" s="350" t="s">
        <v>25</v>
      </c>
      <c r="F122" s="399"/>
      <c r="G122" s="636" t="s">
        <v>26</v>
      </c>
      <c r="H122" s="636"/>
    </row>
    <row r="123" spans="1:10" ht="69.95" customHeight="1" x14ac:dyDescent="0.3">
      <c r="A123" s="400" t="s">
        <v>27</v>
      </c>
      <c r="B123" s="401"/>
      <c r="C123" s="401"/>
      <c r="E123" s="401"/>
      <c r="F123" s="238"/>
      <c r="G123" s="402"/>
      <c r="H123" s="402"/>
    </row>
    <row r="124" spans="1:10" ht="69.95" customHeight="1" x14ac:dyDescent="0.3">
      <c r="A124" s="400" t="s">
        <v>28</v>
      </c>
      <c r="B124" s="403"/>
      <c r="C124" s="403"/>
      <c r="E124" s="403"/>
      <c r="F124" s="238"/>
      <c r="G124" s="404"/>
      <c r="H124" s="404"/>
    </row>
    <row r="125" spans="1:10" ht="18.75" x14ac:dyDescent="0.3">
      <c r="A125" s="335"/>
      <c r="B125" s="335"/>
      <c r="C125" s="336"/>
      <c r="D125" s="336"/>
      <c r="E125" s="336"/>
      <c r="F125" s="340"/>
      <c r="G125" s="336"/>
      <c r="H125" s="336"/>
      <c r="I125" s="238"/>
    </row>
    <row r="126" spans="1:10" ht="18.75" x14ac:dyDescent="0.3">
      <c r="A126" s="335"/>
      <c r="B126" s="335"/>
      <c r="C126" s="336"/>
      <c r="D126" s="336"/>
      <c r="E126" s="336"/>
      <c r="F126" s="340"/>
      <c r="G126" s="336"/>
      <c r="H126" s="336"/>
      <c r="I126" s="238"/>
    </row>
    <row r="127" spans="1:10" ht="18.75" x14ac:dyDescent="0.3">
      <c r="A127" s="335"/>
      <c r="B127" s="335"/>
      <c r="C127" s="336"/>
      <c r="D127" s="336"/>
      <c r="E127" s="336"/>
      <c r="F127" s="340"/>
      <c r="G127" s="336"/>
      <c r="H127" s="336"/>
      <c r="I127" s="238"/>
    </row>
    <row r="128" spans="1:10" ht="18.75" x14ac:dyDescent="0.3">
      <c r="A128" s="335"/>
      <c r="B128" s="335"/>
      <c r="C128" s="336"/>
      <c r="D128" s="336"/>
      <c r="E128" s="336"/>
      <c r="F128" s="340"/>
      <c r="G128" s="336"/>
      <c r="H128" s="336"/>
      <c r="I128" s="238"/>
    </row>
    <row r="129" spans="1:9" ht="18.75" x14ac:dyDescent="0.3">
      <c r="A129" s="335"/>
      <c r="B129" s="335"/>
      <c r="C129" s="336"/>
      <c r="D129" s="336"/>
      <c r="E129" s="336"/>
      <c r="F129" s="340"/>
      <c r="G129" s="336"/>
      <c r="H129" s="336"/>
      <c r="I129" s="238"/>
    </row>
    <row r="130" spans="1:9" ht="18.75" x14ac:dyDescent="0.3">
      <c r="A130" s="335"/>
      <c r="B130" s="335"/>
      <c r="C130" s="336"/>
      <c r="D130" s="336"/>
      <c r="E130" s="336"/>
      <c r="F130" s="340"/>
      <c r="G130" s="336"/>
      <c r="H130" s="336"/>
      <c r="I130" s="238"/>
    </row>
    <row r="131" spans="1:9" ht="18.75" x14ac:dyDescent="0.3">
      <c r="A131" s="335"/>
      <c r="B131" s="335"/>
      <c r="C131" s="336"/>
      <c r="D131" s="336"/>
      <c r="E131" s="336"/>
      <c r="F131" s="340"/>
      <c r="G131" s="336"/>
      <c r="H131" s="336"/>
      <c r="I131" s="238"/>
    </row>
    <row r="132" spans="1:9" ht="18.75" x14ac:dyDescent="0.3">
      <c r="A132" s="335"/>
      <c r="B132" s="335"/>
      <c r="C132" s="336"/>
      <c r="D132" s="336"/>
      <c r="E132" s="336"/>
      <c r="F132" s="340"/>
      <c r="G132" s="336"/>
      <c r="H132" s="336"/>
      <c r="I132" s="238"/>
    </row>
    <row r="133" spans="1:9" ht="18.75" x14ac:dyDescent="0.3">
      <c r="A133" s="335"/>
      <c r="B133" s="335"/>
      <c r="C133" s="336"/>
      <c r="D133" s="336"/>
      <c r="E133" s="336"/>
      <c r="F133" s="340"/>
      <c r="G133" s="336"/>
      <c r="H133" s="336"/>
      <c r="I133" s="23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31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3" t="s">
        <v>43</v>
      </c>
      <c r="B1" s="633"/>
      <c r="C1" s="633"/>
      <c r="D1" s="633"/>
      <c r="E1" s="633"/>
      <c r="F1" s="633"/>
      <c r="G1" s="633"/>
      <c r="H1" s="633"/>
      <c r="I1" s="633"/>
    </row>
    <row r="2" spans="1:9" ht="18.75" customHeight="1" x14ac:dyDescent="0.25">
      <c r="A2" s="633"/>
      <c r="B2" s="633"/>
      <c r="C2" s="633"/>
      <c r="D2" s="633"/>
      <c r="E2" s="633"/>
      <c r="F2" s="633"/>
      <c r="G2" s="633"/>
      <c r="H2" s="633"/>
      <c r="I2" s="633"/>
    </row>
    <row r="3" spans="1:9" ht="18.75" customHeight="1" x14ac:dyDescent="0.25">
      <c r="A3" s="633"/>
      <c r="B3" s="633"/>
      <c r="C3" s="633"/>
      <c r="D3" s="633"/>
      <c r="E3" s="633"/>
      <c r="F3" s="633"/>
      <c r="G3" s="633"/>
      <c r="H3" s="633"/>
      <c r="I3" s="633"/>
    </row>
    <row r="4" spans="1:9" ht="18.75" customHeight="1" x14ac:dyDescent="0.25">
      <c r="A4" s="633"/>
      <c r="B4" s="633"/>
      <c r="C4" s="633"/>
      <c r="D4" s="633"/>
      <c r="E4" s="633"/>
      <c r="F4" s="633"/>
      <c r="G4" s="633"/>
      <c r="H4" s="633"/>
      <c r="I4" s="633"/>
    </row>
    <row r="5" spans="1:9" ht="18.75" customHeight="1" x14ac:dyDescent="0.25">
      <c r="A5" s="633"/>
      <c r="B5" s="633"/>
      <c r="C5" s="633"/>
      <c r="D5" s="633"/>
      <c r="E5" s="633"/>
      <c r="F5" s="633"/>
      <c r="G5" s="633"/>
      <c r="H5" s="633"/>
      <c r="I5" s="633"/>
    </row>
    <row r="6" spans="1:9" ht="18.75" customHeight="1" x14ac:dyDescent="0.25">
      <c r="A6" s="633"/>
      <c r="B6" s="633"/>
      <c r="C6" s="633"/>
      <c r="D6" s="633"/>
      <c r="E6" s="633"/>
      <c r="F6" s="633"/>
      <c r="G6" s="633"/>
      <c r="H6" s="633"/>
      <c r="I6" s="633"/>
    </row>
    <row r="7" spans="1:9" ht="18.75" customHeight="1" x14ac:dyDescent="0.25">
      <c r="A7" s="633"/>
      <c r="B7" s="633"/>
      <c r="C7" s="633"/>
      <c r="D7" s="633"/>
      <c r="E7" s="633"/>
      <c r="F7" s="633"/>
      <c r="G7" s="633"/>
      <c r="H7" s="633"/>
      <c r="I7" s="633"/>
    </row>
    <row r="8" spans="1:9" x14ac:dyDescent="0.25">
      <c r="A8" s="634" t="s">
        <v>44</v>
      </c>
      <c r="B8" s="634"/>
      <c r="C8" s="634"/>
      <c r="D8" s="634"/>
      <c r="E8" s="634"/>
      <c r="F8" s="634"/>
      <c r="G8" s="634"/>
      <c r="H8" s="634"/>
      <c r="I8" s="634"/>
    </row>
    <row r="9" spans="1:9" x14ac:dyDescent="0.25">
      <c r="A9" s="634"/>
      <c r="B9" s="634"/>
      <c r="C9" s="634"/>
      <c r="D9" s="634"/>
      <c r="E9" s="634"/>
      <c r="F9" s="634"/>
      <c r="G9" s="634"/>
      <c r="H9" s="634"/>
      <c r="I9" s="634"/>
    </row>
    <row r="10" spans="1:9" x14ac:dyDescent="0.25">
      <c r="A10" s="634"/>
      <c r="B10" s="634"/>
      <c r="C10" s="634"/>
      <c r="D10" s="634"/>
      <c r="E10" s="634"/>
      <c r="F10" s="634"/>
      <c r="G10" s="634"/>
      <c r="H10" s="634"/>
      <c r="I10" s="634"/>
    </row>
    <row r="11" spans="1:9" x14ac:dyDescent="0.25">
      <c r="A11" s="634"/>
      <c r="B11" s="634"/>
      <c r="C11" s="634"/>
      <c r="D11" s="634"/>
      <c r="E11" s="634"/>
      <c r="F11" s="634"/>
      <c r="G11" s="634"/>
      <c r="H11" s="634"/>
      <c r="I11" s="634"/>
    </row>
    <row r="12" spans="1:9" x14ac:dyDescent="0.25">
      <c r="A12" s="634"/>
      <c r="B12" s="634"/>
      <c r="C12" s="634"/>
      <c r="D12" s="634"/>
      <c r="E12" s="634"/>
      <c r="F12" s="634"/>
      <c r="G12" s="634"/>
      <c r="H12" s="634"/>
      <c r="I12" s="634"/>
    </row>
    <row r="13" spans="1:9" x14ac:dyDescent="0.25">
      <c r="A13" s="634"/>
      <c r="B13" s="634"/>
      <c r="C13" s="634"/>
      <c r="D13" s="634"/>
      <c r="E13" s="634"/>
      <c r="F13" s="634"/>
      <c r="G13" s="634"/>
      <c r="H13" s="634"/>
      <c r="I13" s="634"/>
    </row>
    <row r="14" spans="1:9" x14ac:dyDescent="0.25">
      <c r="A14" s="634"/>
      <c r="B14" s="634"/>
      <c r="C14" s="634"/>
      <c r="D14" s="634"/>
      <c r="E14" s="634"/>
      <c r="F14" s="634"/>
      <c r="G14" s="634"/>
      <c r="H14" s="634"/>
      <c r="I14" s="634"/>
    </row>
    <row r="15" spans="1:9" ht="19.5" customHeight="1" x14ac:dyDescent="0.3">
      <c r="A15" s="420"/>
    </row>
    <row r="16" spans="1:9" ht="19.5" customHeight="1" x14ac:dyDescent="0.3">
      <c r="A16" s="606" t="s">
        <v>29</v>
      </c>
      <c r="B16" s="607"/>
      <c r="C16" s="607"/>
      <c r="D16" s="607"/>
      <c r="E16" s="607"/>
      <c r="F16" s="607"/>
      <c r="G16" s="607"/>
      <c r="H16" s="608"/>
    </row>
    <row r="17" spans="1:14" ht="20.25" customHeight="1" x14ac:dyDescent="0.25">
      <c r="A17" s="609" t="s">
        <v>45</v>
      </c>
      <c r="B17" s="609"/>
      <c r="C17" s="609"/>
      <c r="D17" s="609"/>
      <c r="E17" s="609"/>
      <c r="F17" s="609"/>
      <c r="G17" s="609"/>
      <c r="H17" s="609"/>
    </row>
    <row r="18" spans="1:14" ht="26.25" customHeight="1" x14ac:dyDescent="0.4">
      <c r="A18" s="422" t="s">
        <v>31</v>
      </c>
      <c r="B18" s="605" t="s">
        <v>5</v>
      </c>
      <c r="C18" s="605"/>
      <c r="D18" s="588"/>
      <c r="E18" s="423"/>
      <c r="F18" s="424"/>
      <c r="G18" s="424"/>
      <c r="H18" s="424"/>
    </row>
    <row r="19" spans="1:14" ht="26.25" customHeight="1" x14ac:dyDescent="0.4">
      <c r="A19" s="422" t="s">
        <v>32</v>
      </c>
      <c r="B19" s="425" t="s">
        <v>129</v>
      </c>
      <c r="C19" s="601">
        <v>29</v>
      </c>
      <c r="D19" s="424"/>
      <c r="E19" s="424"/>
      <c r="F19" s="424"/>
      <c r="G19" s="424"/>
      <c r="H19" s="424"/>
    </row>
    <row r="20" spans="1:14" ht="26.25" customHeight="1" x14ac:dyDescent="0.4">
      <c r="A20" s="422" t="s">
        <v>33</v>
      </c>
      <c r="B20" s="610" t="s">
        <v>8</v>
      </c>
      <c r="C20" s="610"/>
      <c r="D20" s="424"/>
      <c r="E20" s="424"/>
      <c r="F20" s="424"/>
      <c r="G20" s="424"/>
      <c r="H20" s="424"/>
    </row>
    <row r="21" spans="1:14" ht="26.25" customHeight="1" x14ac:dyDescent="0.4">
      <c r="A21" s="422" t="s">
        <v>34</v>
      </c>
      <c r="B21" s="610" t="s">
        <v>10</v>
      </c>
      <c r="C21" s="610"/>
      <c r="D21" s="610"/>
      <c r="E21" s="610"/>
      <c r="F21" s="610"/>
      <c r="G21" s="610"/>
      <c r="H21" s="610"/>
      <c r="I21" s="426"/>
    </row>
    <row r="22" spans="1:14" ht="26.25" customHeight="1" x14ac:dyDescent="0.4">
      <c r="A22" s="422" t="s">
        <v>35</v>
      </c>
      <c r="B22" s="706">
        <v>42506.469143518516</v>
      </c>
      <c r="C22" s="424"/>
      <c r="D22" s="424"/>
      <c r="E22" s="424"/>
      <c r="F22" s="424"/>
      <c r="G22" s="424"/>
      <c r="H22" s="424"/>
    </row>
    <row r="23" spans="1:14" ht="26.25" customHeight="1" x14ac:dyDescent="0.4">
      <c r="A23" s="422" t="s">
        <v>36</v>
      </c>
      <c r="B23" s="706">
        <v>42510.469143518516</v>
      </c>
      <c r="C23" s="424"/>
      <c r="D23" s="424"/>
      <c r="E23" s="424"/>
      <c r="F23" s="424"/>
      <c r="G23" s="424"/>
      <c r="H23" s="424"/>
    </row>
    <row r="24" spans="1:14" ht="18.75" x14ac:dyDescent="0.3">
      <c r="A24" s="422"/>
      <c r="B24" s="427"/>
    </row>
    <row r="25" spans="1:14" ht="18.75" x14ac:dyDescent="0.3">
      <c r="A25" s="428" t="s">
        <v>1</v>
      </c>
      <c r="B25" s="427"/>
    </row>
    <row r="26" spans="1:14" ht="26.25" customHeight="1" x14ac:dyDescent="0.4">
      <c r="A26" s="429" t="s">
        <v>4</v>
      </c>
      <c r="B26" s="605" t="s">
        <v>127</v>
      </c>
      <c r="C26" s="605"/>
    </row>
    <row r="27" spans="1:14" ht="26.25" customHeight="1" x14ac:dyDescent="0.4">
      <c r="A27" s="430" t="s">
        <v>46</v>
      </c>
      <c r="B27" s="611" t="s">
        <v>128</v>
      </c>
      <c r="C27" s="611"/>
    </row>
    <row r="28" spans="1:14" ht="27" customHeight="1" x14ac:dyDescent="0.4">
      <c r="A28" s="430" t="s">
        <v>6</v>
      </c>
      <c r="B28" s="431">
        <v>99.3</v>
      </c>
    </row>
    <row r="29" spans="1:14" s="14" customFormat="1" ht="27" customHeight="1" x14ac:dyDescent="0.4">
      <c r="A29" s="430" t="s">
        <v>47</v>
      </c>
      <c r="B29" s="432">
        <v>0</v>
      </c>
      <c r="C29" s="612" t="s">
        <v>48</v>
      </c>
      <c r="D29" s="613"/>
      <c r="E29" s="613"/>
      <c r="F29" s="613"/>
      <c r="G29" s="614"/>
      <c r="I29" s="433"/>
      <c r="J29" s="433"/>
      <c r="K29" s="433"/>
      <c r="L29" s="433"/>
    </row>
    <row r="30" spans="1:14" s="14" customFormat="1" ht="19.5" customHeight="1" x14ac:dyDescent="0.3">
      <c r="A30" s="430" t="s">
        <v>49</v>
      </c>
      <c r="B30" s="434">
        <f>B28-B29</f>
        <v>99.3</v>
      </c>
      <c r="C30" s="435"/>
      <c r="D30" s="435"/>
      <c r="E30" s="435"/>
      <c r="F30" s="435"/>
      <c r="G30" s="436"/>
      <c r="I30" s="433"/>
      <c r="J30" s="433"/>
      <c r="K30" s="433"/>
      <c r="L30" s="433"/>
    </row>
    <row r="31" spans="1:14" s="14" customFormat="1" ht="27" customHeight="1" x14ac:dyDescent="0.4">
      <c r="A31" s="430" t="s">
        <v>50</v>
      </c>
      <c r="B31" s="437">
        <v>1</v>
      </c>
      <c r="C31" s="615" t="s">
        <v>51</v>
      </c>
      <c r="D31" s="616"/>
      <c r="E31" s="616"/>
      <c r="F31" s="616"/>
      <c r="G31" s="616"/>
      <c r="H31" s="617"/>
      <c r="I31" s="433"/>
      <c r="J31" s="433"/>
      <c r="K31" s="433"/>
      <c r="L31" s="433"/>
    </row>
    <row r="32" spans="1:14" s="14" customFormat="1" ht="27" customHeight="1" x14ac:dyDescent="0.4">
      <c r="A32" s="430" t="s">
        <v>52</v>
      </c>
      <c r="B32" s="437">
        <v>1</v>
      </c>
      <c r="C32" s="615" t="s">
        <v>53</v>
      </c>
      <c r="D32" s="616"/>
      <c r="E32" s="616"/>
      <c r="F32" s="616"/>
      <c r="G32" s="616"/>
      <c r="H32" s="617"/>
      <c r="I32" s="433"/>
      <c r="J32" s="433"/>
      <c r="K32" s="433"/>
      <c r="L32" s="438"/>
      <c r="M32" s="438"/>
      <c r="N32" s="439"/>
    </row>
    <row r="33" spans="1:14" s="14" customFormat="1" ht="17.25" customHeight="1" x14ac:dyDescent="0.3">
      <c r="A33" s="430"/>
      <c r="B33" s="440"/>
      <c r="C33" s="441"/>
      <c r="D33" s="441"/>
      <c r="E33" s="441"/>
      <c r="F33" s="441"/>
      <c r="G33" s="441"/>
      <c r="H33" s="441"/>
      <c r="I33" s="433"/>
      <c r="J33" s="433"/>
      <c r="K33" s="433"/>
      <c r="L33" s="438"/>
      <c r="M33" s="438"/>
      <c r="N33" s="439"/>
    </row>
    <row r="34" spans="1:14" s="14" customFormat="1" ht="18.75" x14ac:dyDescent="0.3">
      <c r="A34" s="430" t="s">
        <v>54</v>
      </c>
      <c r="B34" s="442">
        <f>B31/B32</f>
        <v>1</v>
      </c>
      <c r="C34" s="421" t="s">
        <v>55</v>
      </c>
      <c r="D34" s="421"/>
      <c r="E34" s="421"/>
      <c r="F34" s="421"/>
      <c r="G34" s="421"/>
      <c r="I34" s="433"/>
      <c r="J34" s="433"/>
      <c r="K34" s="433"/>
      <c r="L34" s="438"/>
      <c r="M34" s="438"/>
      <c r="N34" s="439"/>
    </row>
    <row r="35" spans="1:14" s="14" customFormat="1" ht="19.5" customHeight="1" x14ac:dyDescent="0.3">
      <c r="A35" s="430"/>
      <c r="B35" s="434"/>
      <c r="G35" s="421"/>
      <c r="I35" s="433"/>
      <c r="J35" s="433"/>
      <c r="K35" s="433"/>
      <c r="L35" s="438"/>
      <c r="M35" s="438"/>
      <c r="N35" s="439"/>
    </row>
    <row r="36" spans="1:14" s="14" customFormat="1" ht="27" customHeight="1" x14ac:dyDescent="0.4">
      <c r="A36" s="443" t="s">
        <v>56</v>
      </c>
      <c r="B36" s="444">
        <v>25</v>
      </c>
      <c r="C36" s="421"/>
      <c r="D36" s="618" t="s">
        <v>57</v>
      </c>
      <c r="E36" s="619"/>
      <c r="F36" s="618" t="s">
        <v>58</v>
      </c>
      <c r="G36" s="620"/>
      <c r="J36" s="433"/>
      <c r="K36" s="433"/>
      <c r="L36" s="438"/>
      <c r="M36" s="438"/>
      <c r="N36" s="439"/>
    </row>
    <row r="37" spans="1:14" s="14" customFormat="1" ht="27" customHeight="1" x14ac:dyDescent="0.4">
      <c r="A37" s="445" t="s">
        <v>59</v>
      </c>
      <c r="B37" s="446">
        <v>5</v>
      </c>
      <c r="C37" s="447" t="s">
        <v>60</v>
      </c>
      <c r="D37" s="448" t="s">
        <v>61</v>
      </c>
      <c r="E37" s="449" t="s">
        <v>62</v>
      </c>
      <c r="F37" s="448" t="s">
        <v>61</v>
      </c>
      <c r="G37" s="450" t="s">
        <v>62</v>
      </c>
      <c r="I37" s="451" t="s">
        <v>63</v>
      </c>
      <c r="J37" s="433"/>
      <c r="K37" s="433"/>
      <c r="L37" s="438"/>
      <c r="M37" s="438"/>
      <c r="N37" s="439"/>
    </row>
    <row r="38" spans="1:14" s="14" customFormat="1" ht="26.25" customHeight="1" x14ac:dyDescent="0.4">
      <c r="A38" s="445" t="s">
        <v>64</v>
      </c>
      <c r="B38" s="446">
        <v>50</v>
      </c>
      <c r="C38" s="452">
        <v>1</v>
      </c>
      <c r="D38" s="453">
        <v>44874654</v>
      </c>
      <c r="E38" s="454">
        <f>IF(ISBLANK(D38),"-",$D$48/$D$45*D38)</f>
        <v>43383351.299093656</v>
      </c>
      <c r="F38" s="453">
        <v>42175266</v>
      </c>
      <c r="G38" s="455">
        <f>IF(ISBLANK(F38),"-",$D$48/$F$45*F38)</f>
        <v>43075632.878424838</v>
      </c>
      <c r="I38" s="456"/>
      <c r="J38" s="433"/>
      <c r="K38" s="433"/>
      <c r="L38" s="438"/>
      <c r="M38" s="438"/>
      <c r="N38" s="439"/>
    </row>
    <row r="39" spans="1:14" s="14" customFormat="1" ht="26.25" customHeight="1" x14ac:dyDescent="0.4">
      <c r="A39" s="445" t="s">
        <v>65</v>
      </c>
      <c r="B39" s="446">
        <v>1</v>
      </c>
      <c r="C39" s="457">
        <v>2</v>
      </c>
      <c r="D39" s="458">
        <v>44790668</v>
      </c>
      <c r="E39" s="459">
        <f>IF(ISBLANK(D39),"-",$D$48/$D$45*D39)</f>
        <v>43302156.37462236</v>
      </c>
      <c r="F39" s="458">
        <v>42235363</v>
      </c>
      <c r="G39" s="460">
        <f>IF(ISBLANK(F39),"-",$D$48/$F$45*F39)</f>
        <v>43137012.842432529</v>
      </c>
      <c r="I39" s="622">
        <f>ABS((F43/D43*D42)-F42)/D42</f>
        <v>1.8168174844806289E-3</v>
      </c>
      <c r="J39" s="433"/>
      <c r="K39" s="433"/>
      <c r="L39" s="438"/>
      <c r="M39" s="438"/>
      <c r="N39" s="439"/>
    </row>
    <row r="40" spans="1:14" ht="26.25" customHeight="1" x14ac:dyDescent="0.4">
      <c r="A40" s="445" t="s">
        <v>66</v>
      </c>
      <c r="B40" s="446">
        <v>1</v>
      </c>
      <c r="C40" s="457">
        <v>3</v>
      </c>
      <c r="D40" s="458">
        <v>44875615</v>
      </c>
      <c r="E40" s="459">
        <f>IF(ISBLANK(D40),"-",$D$48/$D$45*D40)</f>
        <v>43384280.362537764</v>
      </c>
      <c r="F40" s="458">
        <v>42696004</v>
      </c>
      <c r="G40" s="460">
        <f>IF(ISBLANK(F40),"-",$D$48/$F$45*F40)</f>
        <v>43607487.708074167</v>
      </c>
      <c r="I40" s="622"/>
      <c r="L40" s="438"/>
      <c r="M40" s="438"/>
      <c r="N40" s="461"/>
    </row>
    <row r="41" spans="1:14" ht="27" customHeight="1" x14ac:dyDescent="0.4">
      <c r="A41" s="445" t="s">
        <v>67</v>
      </c>
      <c r="B41" s="446">
        <v>1</v>
      </c>
      <c r="C41" s="462">
        <v>4</v>
      </c>
      <c r="D41" s="463"/>
      <c r="E41" s="464" t="str">
        <f>IF(ISBLANK(D41),"-",$D$48/$D$45*D41)</f>
        <v>-</v>
      </c>
      <c r="F41" s="463"/>
      <c r="G41" s="465" t="str">
        <f>IF(ISBLANK(F41),"-",$D$48/$F$45*F41)</f>
        <v>-</v>
      </c>
      <c r="I41" s="466"/>
      <c r="L41" s="438"/>
      <c r="M41" s="438"/>
      <c r="N41" s="461"/>
    </row>
    <row r="42" spans="1:14" ht="27" customHeight="1" x14ac:dyDescent="0.4">
      <c r="A42" s="445" t="s">
        <v>68</v>
      </c>
      <c r="B42" s="446">
        <v>1</v>
      </c>
      <c r="C42" s="467" t="s">
        <v>69</v>
      </c>
      <c r="D42" s="468">
        <f>AVERAGE(D38:D41)</f>
        <v>44846979</v>
      </c>
      <c r="E42" s="469">
        <f>AVERAGE(E38:E41)</f>
        <v>43356596.012084596</v>
      </c>
      <c r="F42" s="468">
        <f>AVERAGE(F38:F41)</f>
        <v>42368877.666666664</v>
      </c>
      <c r="G42" s="470">
        <f>AVERAGE(G38:G41)</f>
        <v>43273377.809643842</v>
      </c>
      <c r="H42" s="471"/>
    </row>
    <row r="43" spans="1:14" ht="26.25" customHeight="1" x14ac:dyDescent="0.4">
      <c r="A43" s="445" t="s">
        <v>70</v>
      </c>
      <c r="B43" s="446">
        <v>1</v>
      </c>
      <c r="C43" s="472" t="s">
        <v>71</v>
      </c>
      <c r="D43" s="473">
        <v>31.25</v>
      </c>
      <c r="E43" s="461"/>
      <c r="F43" s="473">
        <v>29.58</v>
      </c>
      <c r="H43" s="471"/>
    </row>
    <row r="44" spans="1:14" ht="26.25" customHeight="1" x14ac:dyDescent="0.4">
      <c r="A44" s="445" t="s">
        <v>72</v>
      </c>
      <c r="B44" s="446">
        <v>1</v>
      </c>
      <c r="C44" s="474" t="s">
        <v>73</v>
      </c>
      <c r="D44" s="475">
        <f>D43*$B$34</f>
        <v>31.25</v>
      </c>
      <c r="E44" s="476"/>
      <c r="F44" s="475">
        <f>F43*$B$34</f>
        <v>29.58</v>
      </c>
      <c r="H44" s="471"/>
    </row>
    <row r="45" spans="1:14" ht="19.5" customHeight="1" x14ac:dyDescent="0.3">
      <c r="A45" s="445" t="s">
        <v>74</v>
      </c>
      <c r="B45" s="477">
        <f>(B44/B43)*(B42/B41)*(B40/B39)*(B38/B37)*B36</f>
        <v>250</v>
      </c>
      <c r="C45" s="474" t="s">
        <v>75</v>
      </c>
      <c r="D45" s="478">
        <f>D44*$B$30/100</f>
        <v>31.03125</v>
      </c>
      <c r="E45" s="479"/>
      <c r="F45" s="478">
        <f>F44*$B$30/100</f>
        <v>29.37294</v>
      </c>
      <c r="H45" s="471"/>
    </row>
    <row r="46" spans="1:14" ht="19.5" customHeight="1" x14ac:dyDescent="0.3">
      <c r="A46" s="623" t="s">
        <v>76</v>
      </c>
      <c r="B46" s="624"/>
      <c r="C46" s="474" t="s">
        <v>77</v>
      </c>
      <c r="D46" s="480">
        <f>D45/$B$45</f>
        <v>0.124125</v>
      </c>
      <c r="E46" s="481"/>
      <c r="F46" s="482">
        <f>F45/$B$45</f>
        <v>0.11749176</v>
      </c>
      <c r="H46" s="471"/>
    </row>
    <row r="47" spans="1:14" ht="27" customHeight="1" x14ac:dyDescent="0.4">
      <c r="A47" s="625"/>
      <c r="B47" s="626"/>
      <c r="C47" s="483" t="s">
        <v>78</v>
      </c>
      <c r="D47" s="484">
        <v>0.12</v>
      </c>
      <c r="E47" s="485"/>
      <c r="F47" s="481"/>
      <c r="H47" s="471"/>
    </row>
    <row r="48" spans="1:14" ht="18.75" x14ac:dyDescent="0.3">
      <c r="C48" s="486" t="s">
        <v>79</v>
      </c>
      <c r="D48" s="478">
        <f>D47*$B$45</f>
        <v>30</v>
      </c>
      <c r="F48" s="487"/>
      <c r="H48" s="471"/>
    </row>
    <row r="49" spans="1:12" ht="19.5" customHeight="1" x14ac:dyDescent="0.3">
      <c r="C49" s="488" t="s">
        <v>80</v>
      </c>
      <c r="D49" s="489">
        <f>D48/B34</f>
        <v>30</v>
      </c>
      <c r="F49" s="487"/>
      <c r="H49" s="471"/>
    </row>
    <row r="50" spans="1:12" ht="18.75" x14ac:dyDescent="0.3">
      <c r="C50" s="443" t="s">
        <v>81</v>
      </c>
      <c r="D50" s="490">
        <f>AVERAGE(E38:E41,G38:G41)</f>
        <v>43314986.910864227</v>
      </c>
      <c r="F50" s="491"/>
      <c r="H50" s="471"/>
    </row>
    <row r="51" spans="1:12" ht="18.75" x14ac:dyDescent="0.3">
      <c r="C51" s="445" t="s">
        <v>82</v>
      </c>
      <c r="D51" s="492">
        <f>STDEV(E38:E41,G38:G41)/D50</f>
        <v>4.4307424570432571E-3</v>
      </c>
      <c r="F51" s="491"/>
      <c r="H51" s="471"/>
    </row>
    <row r="52" spans="1:12" ht="19.5" customHeight="1" x14ac:dyDescent="0.3">
      <c r="C52" s="493" t="s">
        <v>18</v>
      </c>
      <c r="D52" s="494">
        <f>COUNT(E38:E41,G38:G41)</f>
        <v>6</v>
      </c>
      <c r="F52" s="491"/>
    </row>
    <row r="54" spans="1:12" ht="18.75" x14ac:dyDescent="0.3">
      <c r="A54" s="495" t="s">
        <v>1</v>
      </c>
      <c r="B54" s="496" t="s">
        <v>83</v>
      </c>
    </row>
    <row r="55" spans="1:12" ht="18.75" x14ac:dyDescent="0.3">
      <c r="A55" s="421" t="s">
        <v>84</v>
      </c>
      <c r="B55" s="497" t="str">
        <f>B21</f>
        <v>Each tablet contains Tenofovir Disoproxil Fumarate 300mg, Lamivudine 300mg &amp; Efavirenz 600mg tablets</v>
      </c>
    </row>
    <row r="56" spans="1:12" ht="26.25" customHeight="1" x14ac:dyDescent="0.4">
      <c r="A56" s="498" t="s">
        <v>85</v>
      </c>
      <c r="B56" s="499">
        <v>600</v>
      </c>
      <c r="C56" s="421" t="str">
        <f>B20</f>
        <v>Tenofovir Disoproxil Fumarate 300mg, Lamivudine 300mg &amp; Efavirenz 600mg tablets</v>
      </c>
      <c r="H56" s="500"/>
    </row>
    <row r="57" spans="1:12" ht="18.75" x14ac:dyDescent="0.3">
      <c r="A57" s="497" t="s">
        <v>86</v>
      </c>
      <c r="B57" s="589">
        <f>Uniformity!C46</f>
        <v>1769.7860000000001</v>
      </c>
      <c r="H57" s="500"/>
    </row>
    <row r="58" spans="1:12" ht="19.5" customHeight="1" x14ac:dyDescent="0.3">
      <c r="H58" s="500"/>
    </row>
    <row r="59" spans="1:12" s="14" customFormat="1" ht="27" customHeight="1" x14ac:dyDescent="0.4">
      <c r="A59" s="443" t="s">
        <v>87</v>
      </c>
      <c r="B59" s="444">
        <v>200</v>
      </c>
      <c r="C59" s="421"/>
      <c r="D59" s="501" t="s">
        <v>88</v>
      </c>
      <c r="E59" s="502" t="s">
        <v>60</v>
      </c>
      <c r="F59" s="502" t="s">
        <v>61</v>
      </c>
      <c r="G59" s="502" t="s">
        <v>89</v>
      </c>
      <c r="H59" s="447" t="s">
        <v>90</v>
      </c>
      <c r="L59" s="433"/>
    </row>
    <row r="60" spans="1:12" s="14" customFormat="1" ht="26.25" customHeight="1" x14ac:dyDescent="0.4">
      <c r="A60" s="445" t="s">
        <v>91</v>
      </c>
      <c r="B60" s="446">
        <v>4</v>
      </c>
      <c r="C60" s="627" t="s">
        <v>92</v>
      </c>
      <c r="D60" s="630">
        <v>1758.5</v>
      </c>
      <c r="E60" s="503">
        <v>1</v>
      </c>
      <c r="F60" s="504">
        <v>43769816</v>
      </c>
      <c r="G60" s="590">
        <f>IF(ISBLANK(F60),"-",(F60/$D$50*$D$47*$B$68)*($B$57/$D$60))</f>
        <v>610.19151801493354</v>
      </c>
      <c r="H60" s="505">
        <f t="shared" ref="H60:H71" si="0">IF(ISBLANK(F60),"-",G60/$B$56)</f>
        <v>1.0169858633582225</v>
      </c>
      <c r="L60" s="433"/>
    </row>
    <row r="61" spans="1:12" s="14" customFormat="1" ht="26.25" customHeight="1" x14ac:dyDescent="0.4">
      <c r="A61" s="445" t="s">
        <v>93</v>
      </c>
      <c r="B61" s="446">
        <v>100</v>
      </c>
      <c r="C61" s="628"/>
      <c r="D61" s="631"/>
      <c r="E61" s="506">
        <v>2</v>
      </c>
      <c r="F61" s="458">
        <v>43921763</v>
      </c>
      <c r="G61" s="591">
        <f>IF(ISBLANK(F61),"-",(F61/$D$50*$D$47*$B$68)*($B$57/$D$60))</f>
        <v>612.30979903735806</v>
      </c>
      <c r="H61" s="507">
        <f t="shared" si="0"/>
        <v>1.0205163317289301</v>
      </c>
      <c r="L61" s="433"/>
    </row>
    <row r="62" spans="1:12" s="14" customFormat="1" ht="26.25" customHeight="1" x14ac:dyDescent="0.4">
      <c r="A62" s="445" t="s">
        <v>94</v>
      </c>
      <c r="B62" s="446">
        <v>1</v>
      </c>
      <c r="C62" s="628"/>
      <c r="D62" s="631"/>
      <c r="E62" s="506">
        <v>3</v>
      </c>
      <c r="F62" s="508">
        <v>43569782</v>
      </c>
      <c r="G62" s="591">
        <f>IF(ISBLANK(F62),"-",(F62/$D$50*$D$47*$B$68)*($B$57/$D$60))</f>
        <v>607.4028599562705</v>
      </c>
      <c r="H62" s="507">
        <f t="shared" si="0"/>
        <v>1.0123380999271174</v>
      </c>
      <c r="L62" s="433"/>
    </row>
    <row r="63" spans="1:12" ht="27" customHeight="1" x14ac:dyDescent="0.4">
      <c r="A63" s="445" t="s">
        <v>95</v>
      </c>
      <c r="B63" s="446">
        <v>1</v>
      </c>
      <c r="C63" s="629"/>
      <c r="D63" s="632"/>
      <c r="E63" s="509">
        <v>4</v>
      </c>
      <c r="F63" s="510"/>
      <c r="G63" s="591" t="str">
        <f>IF(ISBLANK(F63),"-",(F63/$D$50*$D$47*$B$68)*($B$57/$D$60))</f>
        <v>-</v>
      </c>
      <c r="H63" s="507" t="str">
        <f t="shared" si="0"/>
        <v>-</v>
      </c>
    </row>
    <row r="64" spans="1:12" ht="26.25" customHeight="1" x14ac:dyDescent="0.4">
      <c r="A64" s="445" t="s">
        <v>96</v>
      </c>
      <c r="B64" s="446">
        <v>1</v>
      </c>
      <c r="C64" s="627" t="s">
        <v>97</v>
      </c>
      <c r="D64" s="630">
        <v>1763.59</v>
      </c>
      <c r="E64" s="503">
        <v>1</v>
      </c>
      <c r="F64" s="504">
        <v>42114428</v>
      </c>
      <c r="G64" s="592">
        <f>IF(ISBLANK(F64),"-",(F64/$D$50*$D$47*$B$68)*($B$57/$D$64))</f>
        <v>585.41938213798721</v>
      </c>
      <c r="H64" s="511">
        <f t="shared" si="0"/>
        <v>0.97569897022997865</v>
      </c>
    </row>
    <row r="65" spans="1:8" ht="26.25" customHeight="1" x14ac:dyDescent="0.4">
      <c r="A65" s="445" t="s">
        <v>98</v>
      </c>
      <c r="B65" s="446">
        <v>1</v>
      </c>
      <c r="C65" s="628"/>
      <c r="D65" s="631"/>
      <c r="E65" s="506">
        <v>2</v>
      </c>
      <c r="F65" s="458">
        <v>42332732</v>
      </c>
      <c r="G65" s="593">
        <f>IF(ISBLANK(F65),"-",(F65/$D$50*$D$47*$B$68)*($B$57/$D$64))</f>
        <v>588.45395719616556</v>
      </c>
      <c r="H65" s="512">
        <f t="shared" si="0"/>
        <v>0.98075659532694259</v>
      </c>
    </row>
    <row r="66" spans="1:8" ht="26.25" customHeight="1" x14ac:dyDescent="0.4">
      <c r="A66" s="445" t="s">
        <v>99</v>
      </c>
      <c r="B66" s="446">
        <v>1</v>
      </c>
      <c r="C66" s="628"/>
      <c r="D66" s="631"/>
      <c r="E66" s="506">
        <v>3</v>
      </c>
      <c r="F66" s="458">
        <v>41979931</v>
      </c>
      <c r="G66" s="593">
        <f>IF(ISBLANK(F66),"-",(F66/$D$50*$D$47*$B$68)*($B$57/$D$64))</f>
        <v>583.54978175686813</v>
      </c>
      <c r="H66" s="512">
        <f t="shared" si="0"/>
        <v>0.97258296959478019</v>
      </c>
    </row>
    <row r="67" spans="1:8" ht="27" customHeight="1" x14ac:dyDescent="0.4">
      <c r="A67" s="445" t="s">
        <v>100</v>
      </c>
      <c r="B67" s="446">
        <v>1</v>
      </c>
      <c r="C67" s="629"/>
      <c r="D67" s="632"/>
      <c r="E67" s="509">
        <v>4</v>
      </c>
      <c r="F67" s="510"/>
      <c r="G67" s="594" t="str">
        <f>IF(ISBLANK(F67),"-",(F67/$D$50*$D$47*$B$68)*($B$57/$D$64))</f>
        <v>-</v>
      </c>
      <c r="H67" s="513" t="str">
        <f t="shared" si="0"/>
        <v>-</v>
      </c>
    </row>
    <row r="68" spans="1:8" ht="26.25" customHeight="1" x14ac:dyDescent="0.4">
      <c r="A68" s="445" t="s">
        <v>101</v>
      </c>
      <c r="B68" s="514">
        <f>(B67/B66)*(B65/B64)*(B63/B62)*(B61/B60)*B59</f>
        <v>5000</v>
      </c>
      <c r="C68" s="627" t="s">
        <v>102</v>
      </c>
      <c r="D68" s="630">
        <v>1761.17</v>
      </c>
      <c r="E68" s="503">
        <v>1</v>
      </c>
      <c r="F68" s="504">
        <v>42496636</v>
      </c>
      <c r="G68" s="592">
        <f>IF(ISBLANK(F68),"-",(F68/$D$50*$D$47*$B$68)*($B$57/$D$68))</f>
        <v>591.54405236337539</v>
      </c>
      <c r="H68" s="507">
        <f t="shared" si="0"/>
        <v>0.98590675393895899</v>
      </c>
    </row>
    <row r="69" spans="1:8" ht="27" customHeight="1" x14ac:dyDescent="0.4">
      <c r="A69" s="493" t="s">
        <v>103</v>
      </c>
      <c r="B69" s="515">
        <f>(D47*B68)/B56*B57</f>
        <v>1769.7860000000001</v>
      </c>
      <c r="C69" s="628"/>
      <c r="D69" s="631"/>
      <c r="E69" s="506">
        <v>2</v>
      </c>
      <c r="F69" s="458">
        <v>42473977</v>
      </c>
      <c r="G69" s="593">
        <f>IF(ISBLANK(F69),"-",(F69/$D$50*$D$47*$B$68)*($B$57/$D$68))</f>
        <v>591.22864394651856</v>
      </c>
      <c r="H69" s="507">
        <f t="shared" si="0"/>
        <v>0.98538107324419755</v>
      </c>
    </row>
    <row r="70" spans="1:8" ht="26.25" customHeight="1" x14ac:dyDescent="0.4">
      <c r="A70" s="640" t="s">
        <v>76</v>
      </c>
      <c r="B70" s="641"/>
      <c r="C70" s="628"/>
      <c r="D70" s="631"/>
      <c r="E70" s="506">
        <v>3</v>
      </c>
      <c r="F70" s="458">
        <v>42220580</v>
      </c>
      <c r="G70" s="593">
        <f>IF(ISBLANK(F70),"-",(F70/$D$50*$D$47*$B$68)*($B$57/$D$68))</f>
        <v>587.70141209134954</v>
      </c>
      <c r="H70" s="507">
        <f t="shared" si="0"/>
        <v>0.97950235348558257</v>
      </c>
    </row>
    <row r="71" spans="1:8" ht="27" customHeight="1" x14ac:dyDescent="0.4">
      <c r="A71" s="642"/>
      <c r="B71" s="643"/>
      <c r="C71" s="639"/>
      <c r="D71" s="632"/>
      <c r="E71" s="509">
        <v>4</v>
      </c>
      <c r="F71" s="510"/>
      <c r="G71" s="594" t="str">
        <f>IF(ISBLANK(F71),"-",(F71/$D$50*$D$47*$B$68)*($B$57/$D$68))</f>
        <v>-</v>
      </c>
      <c r="H71" s="516" t="str">
        <f t="shared" si="0"/>
        <v>-</v>
      </c>
    </row>
    <row r="72" spans="1:8" ht="26.25" customHeight="1" x14ac:dyDescent="0.4">
      <c r="A72" s="517"/>
      <c r="B72" s="517"/>
      <c r="C72" s="517"/>
      <c r="D72" s="517"/>
      <c r="E72" s="517"/>
      <c r="F72" s="519" t="s">
        <v>69</v>
      </c>
      <c r="G72" s="599">
        <f>AVERAGE(G60:G71)</f>
        <v>595.3112673889807</v>
      </c>
      <c r="H72" s="520">
        <f>AVERAGE(H60:H71)</f>
        <v>0.99218544564830125</v>
      </c>
    </row>
    <row r="73" spans="1:8" ht="26.25" customHeight="1" x14ac:dyDescent="0.4">
      <c r="C73" s="517"/>
      <c r="D73" s="517"/>
      <c r="E73" s="517"/>
      <c r="F73" s="521" t="s">
        <v>82</v>
      </c>
      <c r="G73" s="595">
        <f>STDEV(G60:G71)/G72</f>
        <v>1.9046895606308463E-2</v>
      </c>
      <c r="H73" s="595">
        <f>STDEV(H60:H71)/H72</f>
        <v>1.9046895606308449E-2</v>
      </c>
    </row>
    <row r="74" spans="1:8" ht="27" customHeight="1" x14ac:dyDescent="0.4">
      <c r="A74" s="517"/>
      <c r="B74" s="517"/>
      <c r="C74" s="518"/>
      <c r="D74" s="518"/>
      <c r="E74" s="522"/>
      <c r="F74" s="523" t="s">
        <v>18</v>
      </c>
      <c r="G74" s="524">
        <f>COUNT(G60:G71)</f>
        <v>9</v>
      </c>
      <c r="H74" s="524">
        <f>COUNT(H60:H71)</f>
        <v>9</v>
      </c>
    </row>
    <row r="76" spans="1:8" ht="26.25" customHeight="1" x14ac:dyDescent="0.4">
      <c r="A76" s="429" t="s">
        <v>104</v>
      </c>
      <c r="B76" s="525" t="s">
        <v>105</v>
      </c>
      <c r="C76" s="635" t="str">
        <f>B20</f>
        <v>Tenofovir Disoproxil Fumarate 300mg, Lamivudine 300mg &amp; Efavirenz 600mg tablets</v>
      </c>
      <c r="D76" s="635"/>
      <c r="E76" s="526" t="s">
        <v>106</v>
      </c>
      <c r="F76" s="526"/>
      <c r="G76" s="527">
        <f>H72</f>
        <v>0.99218544564830125</v>
      </c>
      <c r="H76" s="528"/>
    </row>
    <row r="77" spans="1:8" ht="18.75" x14ac:dyDescent="0.3">
      <c r="A77" s="428" t="s">
        <v>107</v>
      </c>
      <c r="B77" s="428" t="s">
        <v>108</v>
      </c>
    </row>
    <row r="78" spans="1:8" ht="18.75" x14ac:dyDescent="0.3">
      <c r="A78" s="428"/>
      <c r="B78" s="428"/>
    </row>
    <row r="79" spans="1:8" ht="26.25" customHeight="1" x14ac:dyDescent="0.4">
      <c r="A79" s="429" t="s">
        <v>4</v>
      </c>
      <c r="B79" s="621" t="str">
        <f>B26</f>
        <v>Efavirenz</v>
      </c>
      <c r="C79" s="621"/>
    </row>
    <row r="80" spans="1:8" ht="26.25" customHeight="1" x14ac:dyDescent="0.4">
      <c r="A80" s="430" t="s">
        <v>46</v>
      </c>
      <c r="B80" s="621" t="str">
        <f>B27</f>
        <v>E15-3</v>
      </c>
      <c r="C80" s="621"/>
    </row>
    <row r="81" spans="1:12" ht="27" customHeight="1" x14ac:dyDescent="0.4">
      <c r="A81" s="430" t="s">
        <v>6</v>
      </c>
      <c r="B81" s="529">
        <f>B28</f>
        <v>99.3</v>
      </c>
    </row>
    <row r="82" spans="1:12" s="14" customFormat="1" ht="27" customHeight="1" x14ac:dyDescent="0.4">
      <c r="A82" s="430" t="s">
        <v>47</v>
      </c>
      <c r="B82" s="432">
        <v>0</v>
      </c>
      <c r="C82" s="612" t="s">
        <v>48</v>
      </c>
      <c r="D82" s="613"/>
      <c r="E82" s="613"/>
      <c r="F82" s="613"/>
      <c r="G82" s="614"/>
      <c r="I82" s="433"/>
      <c r="J82" s="433"/>
      <c r="K82" s="433"/>
      <c r="L82" s="433"/>
    </row>
    <row r="83" spans="1:12" s="14" customFormat="1" ht="19.5" customHeight="1" x14ac:dyDescent="0.3">
      <c r="A83" s="430" t="s">
        <v>49</v>
      </c>
      <c r="B83" s="434">
        <f>B81-B82</f>
        <v>99.3</v>
      </c>
      <c r="C83" s="435"/>
      <c r="D83" s="435"/>
      <c r="E83" s="435"/>
      <c r="F83" s="435"/>
      <c r="G83" s="436"/>
      <c r="I83" s="433"/>
      <c r="J83" s="433"/>
      <c r="K83" s="433"/>
      <c r="L83" s="433"/>
    </row>
    <row r="84" spans="1:12" s="14" customFormat="1" ht="27" customHeight="1" x14ac:dyDescent="0.4">
      <c r="A84" s="430" t="s">
        <v>50</v>
      </c>
      <c r="B84" s="437">
        <v>1</v>
      </c>
      <c r="C84" s="615" t="s">
        <v>109</v>
      </c>
      <c r="D84" s="616"/>
      <c r="E84" s="616"/>
      <c r="F84" s="616"/>
      <c r="G84" s="616"/>
      <c r="H84" s="617"/>
      <c r="I84" s="433"/>
      <c r="J84" s="433"/>
      <c r="K84" s="433"/>
      <c r="L84" s="433"/>
    </row>
    <row r="85" spans="1:12" s="14" customFormat="1" ht="27" customHeight="1" x14ac:dyDescent="0.4">
      <c r="A85" s="430" t="s">
        <v>52</v>
      </c>
      <c r="B85" s="437">
        <v>1</v>
      </c>
      <c r="C85" s="615" t="s">
        <v>110</v>
      </c>
      <c r="D85" s="616"/>
      <c r="E85" s="616"/>
      <c r="F85" s="616"/>
      <c r="G85" s="616"/>
      <c r="H85" s="617"/>
      <c r="I85" s="433"/>
      <c r="J85" s="433"/>
      <c r="K85" s="433"/>
      <c r="L85" s="433"/>
    </row>
    <row r="86" spans="1:12" s="14" customFormat="1" ht="18.75" x14ac:dyDescent="0.3">
      <c r="A86" s="430"/>
      <c r="B86" s="440"/>
      <c r="C86" s="441"/>
      <c r="D86" s="441"/>
      <c r="E86" s="441"/>
      <c r="F86" s="441"/>
      <c r="G86" s="441"/>
      <c r="H86" s="441"/>
      <c r="I86" s="433"/>
      <c r="J86" s="433"/>
      <c r="K86" s="433"/>
      <c r="L86" s="433"/>
    </row>
    <row r="87" spans="1:12" s="14" customFormat="1" ht="18.75" x14ac:dyDescent="0.3">
      <c r="A87" s="430" t="s">
        <v>54</v>
      </c>
      <c r="B87" s="442">
        <f>B84/B85</f>
        <v>1</v>
      </c>
      <c r="C87" s="421" t="s">
        <v>55</v>
      </c>
      <c r="D87" s="421"/>
      <c r="E87" s="421"/>
      <c r="F87" s="421"/>
      <c r="G87" s="421"/>
      <c r="I87" s="433"/>
      <c r="J87" s="433"/>
      <c r="K87" s="433"/>
      <c r="L87" s="433"/>
    </row>
    <row r="88" spans="1:12" ht="19.5" customHeight="1" x14ac:dyDescent="0.3">
      <c r="A88" s="428"/>
      <c r="B88" s="428"/>
    </row>
    <row r="89" spans="1:12" ht="27" customHeight="1" x14ac:dyDescent="0.4">
      <c r="A89" s="443" t="s">
        <v>56</v>
      </c>
      <c r="B89" s="444">
        <v>25</v>
      </c>
      <c r="D89" s="530" t="s">
        <v>57</v>
      </c>
      <c r="E89" s="531"/>
      <c r="F89" s="618" t="s">
        <v>58</v>
      </c>
      <c r="G89" s="620"/>
    </row>
    <row r="90" spans="1:12" ht="27" customHeight="1" x14ac:dyDescent="0.4">
      <c r="A90" s="445" t="s">
        <v>59</v>
      </c>
      <c r="B90" s="446">
        <v>10</v>
      </c>
      <c r="C90" s="532" t="s">
        <v>60</v>
      </c>
      <c r="D90" s="448" t="s">
        <v>61</v>
      </c>
      <c r="E90" s="449" t="s">
        <v>62</v>
      </c>
      <c r="F90" s="448" t="s">
        <v>61</v>
      </c>
      <c r="G90" s="533" t="s">
        <v>62</v>
      </c>
      <c r="I90" s="451" t="s">
        <v>63</v>
      </c>
    </row>
    <row r="91" spans="1:12" ht="26.25" customHeight="1" x14ac:dyDescent="0.4">
      <c r="A91" s="445" t="s">
        <v>64</v>
      </c>
      <c r="B91" s="446">
        <v>20</v>
      </c>
      <c r="C91" s="534">
        <v>1</v>
      </c>
      <c r="D91" s="698">
        <v>204719434</v>
      </c>
      <c r="E91" s="454">
        <f>IF(ISBLANK(D91),"-",$D$101/$D$98*D91)</f>
        <v>197916069.12386709</v>
      </c>
      <c r="F91" s="698">
        <v>193181262</v>
      </c>
      <c r="G91" s="455">
        <f>IF(ISBLANK(F91),"-",$D$101/$F$98*F91)</f>
        <v>197305338.17860931</v>
      </c>
      <c r="I91" s="456"/>
    </row>
    <row r="92" spans="1:12" ht="26.25" customHeight="1" x14ac:dyDescent="0.4">
      <c r="A92" s="445" t="s">
        <v>65</v>
      </c>
      <c r="B92" s="446">
        <v>1</v>
      </c>
      <c r="C92" s="518">
        <v>2</v>
      </c>
      <c r="D92" s="699">
        <v>205110967</v>
      </c>
      <c r="E92" s="459">
        <f>IF(ISBLANK(D92),"-",$D$101/$D$98*D92)</f>
        <v>198294590.45317221</v>
      </c>
      <c r="F92" s="699">
        <v>193256501</v>
      </c>
      <c r="G92" s="460">
        <f>IF(ISBLANK(F92),"-",$D$101/$F$98*F92)</f>
        <v>197382183.39737189</v>
      </c>
      <c r="I92" s="622">
        <f>ABS((F96/D96*D95)-F95)/D95</f>
        <v>2.3676881937000696E-3</v>
      </c>
    </row>
    <row r="93" spans="1:12" ht="26.25" customHeight="1" x14ac:dyDescent="0.4">
      <c r="A93" s="445" t="s">
        <v>66</v>
      </c>
      <c r="B93" s="446">
        <v>1</v>
      </c>
      <c r="C93" s="518">
        <v>3</v>
      </c>
      <c r="D93" s="699">
        <v>204527013</v>
      </c>
      <c r="E93" s="459">
        <f>IF(ISBLANK(D93),"-",$D$101/$D$98*D93)</f>
        <v>197730042.7794562</v>
      </c>
      <c r="F93" s="699">
        <v>193633784</v>
      </c>
      <c r="G93" s="460">
        <f>IF(ISBLANK(F93),"-",$D$101/$F$98*F93)</f>
        <v>197767520.71804866</v>
      </c>
      <c r="I93" s="622"/>
    </row>
    <row r="94" spans="1:12" ht="27" customHeight="1" x14ac:dyDescent="0.4">
      <c r="A94" s="445" t="s">
        <v>67</v>
      </c>
      <c r="B94" s="446">
        <v>1</v>
      </c>
      <c r="C94" s="535">
        <v>4</v>
      </c>
      <c r="D94" s="463"/>
      <c r="E94" s="464" t="str">
        <f>IF(ISBLANK(D94),"-",$D$101/$D$98*D94)</f>
        <v>-</v>
      </c>
      <c r="F94" s="536"/>
      <c r="G94" s="465" t="str">
        <f>IF(ISBLANK(F94),"-",$D$101/$F$98*F94)</f>
        <v>-</v>
      </c>
      <c r="I94" s="466"/>
    </row>
    <row r="95" spans="1:12" ht="27" customHeight="1" x14ac:dyDescent="0.4">
      <c r="A95" s="445" t="s">
        <v>68</v>
      </c>
      <c r="B95" s="446">
        <v>1</v>
      </c>
      <c r="C95" s="537" t="s">
        <v>69</v>
      </c>
      <c r="D95" s="538">
        <f>AVERAGE(D91:D94)</f>
        <v>204785804.66666666</v>
      </c>
      <c r="E95" s="469">
        <f>AVERAGE(E91:E94)</f>
        <v>197980234.11883184</v>
      </c>
      <c r="F95" s="539">
        <f>AVERAGE(F91:F94)</f>
        <v>193357182.33333334</v>
      </c>
      <c r="G95" s="540">
        <f>AVERAGE(G91:G94)</f>
        <v>197485014.09800994</v>
      </c>
    </row>
    <row r="96" spans="1:12" ht="26.25" customHeight="1" x14ac:dyDescent="0.4">
      <c r="A96" s="445" t="s">
        <v>70</v>
      </c>
      <c r="B96" s="431">
        <v>1</v>
      </c>
      <c r="C96" s="541" t="s">
        <v>111</v>
      </c>
      <c r="D96" s="542">
        <v>31.25</v>
      </c>
      <c r="E96" s="461"/>
      <c r="F96" s="473">
        <v>29.58</v>
      </c>
    </row>
    <row r="97" spans="1:10" ht="26.25" customHeight="1" x14ac:dyDescent="0.4">
      <c r="A97" s="445" t="s">
        <v>72</v>
      </c>
      <c r="B97" s="431">
        <v>1</v>
      </c>
      <c r="C97" s="543" t="s">
        <v>112</v>
      </c>
      <c r="D97" s="544">
        <f>D96*$B$87</f>
        <v>31.25</v>
      </c>
      <c r="E97" s="476"/>
      <c r="F97" s="475">
        <f>F96*$B$87</f>
        <v>29.58</v>
      </c>
    </row>
    <row r="98" spans="1:10" ht="19.5" customHeight="1" x14ac:dyDescent="0.3">
      <c r="A98" s="445" t="s">
        <v>74</v>
      </c>
      <c r="B98" s="545">
        <f>(B97/B96)*(B95/B94)*(B93/B92)*(B91/B90)*B89</f>
        <v>50</v>
      </c>
      <c r="C98" s="543" t="s">
        <v>113</v>
      </c>
      <c r="D98" s="546">
        <f>D97*$B$83/100</f>
        <v>31.03125</v>
      </c>
      <c r="E98" s="479"/>
      <c r="F98" s="478">
        <f>F97*$B$83/100</f>
        <v>29.37294</v>
      </c>
    </row>
    <row r="99" spans="1:10" ht="19.5" customHeight="1" x14ac:dyDescent="0.3">
      <c r="A99" s="623" t="s">
        <v>76</v>
      </c>
      <c r="B99" s="637"/>
      <c r="C99" s="543" t="s">
        <v>114</v>
      </c>
      <c r="D99" s="547">
        <f>D98/$B$98</f>
        <v>0.62062499999999998</v>
      </c>
      <c r="E99" s="479"/>
      <c r="F99" s="482">
        <f>F98/$B$98</f>
        <v>0.58745879999999995</v>
      </c>
      <c r="G99" s="548"/>
      <c r="H99" s="471"/>
    </row>
    <row r="100" spans="1:10" ht="19.5" customHeight="1" x14ac:dyDescent="0.3">
      <c r="A100" s="625"/>
      <c r="B100" s="638"/>
      <c r="C100" s="543" t="s">
        <v>78</v>
      </c>
      <c r="D100" s="549">
        <f>$B$56/$B$116</f>
        <v>0.6</v>
      </c>
      <c r="F100" s="487"/>
      <c r="G100" s="550"/>
      <c r="H100" s="471"/>
    </row>
    <row r="101" spans="1:10" ht="18.75" x14ac:dyDescent="0.3">
      <c r="C101" s="543" t="s">
        <v>79</v>
      </c>
      <c r="D101" s="544">
        <f>D100*$B$98</f>
        <v>30</v>
      </c>
      <c r="F101" s="487"/>
      <c r="G101" s="548"/>
      <c r="H101" s="471"/>
    </row>
    <row r="102" spans="1:10" ht="19.5" customHeight="1" x14ac:dyDescent="0.3">
      <c r="C102" s="551" t="s">
        <v>80</v>
      </c>
      <c r="D102" s="552">
        <f>D101/B34</f>
        <v>30</v>
      </c>
      <c r="F102" s="491"/>
      <c r="G102" s="548"/>
      <c r="H102" s="471"/>
      <c r="J102" s="553"/>
    </row>
    <row r="103" spans="1:10" ht="18.75" x14ac:dyDescent="0.3">
      <c r="C103" s="554" t="s">
        <v>115</v>
      </c>
      <c r="D103" s="555">
        <f>AVERAGE(E91:E94,G91:G94)</f>
        <v>197732624.10842088</v>
      </c>
      <c r="F103" s="491"/>
      <c r="G103" s="556"/>
      <c r="H103" s="471"/>
      <c r="J103" s="557"/>
    </row>
    <row r="104" spans="1:10" ht="18.75" x14ac:dyDescent="0.3">
      <c r="C104" s="521" t="s">
        <v>82</v>
      </c>
      <c r="D104" s="558">
        <f>STDEV(E91:E94,G91:G94)/D103</f>
        <v>1.8319346777171705E-3</v>
      </c>
      <c r="F104" s="491"/>
      <c r="G104" s="548"/>
      <c r="H104" s="471"/>
      <c r="J104" s="557"/>
    </row>
    <row r="105" spans="1:10" ht="19.5" customHeight="1" x14ac:dyDescent="0.3">
      <c r="C105" s="523" t="s">
        <v>18</v>
      </c>
      <c r="D105" s="559">
        <f>COUNT(E91:E94,G91:G94)</f>
        <v>6</v>
      </c>
      <c r="F105" s="491"/>
      <c r="G105" s="548"/>
      <c r="H105" s="471"/>
      <c r="J105" s="557"/>
    </row>
    <row r="106" spans="1:10" ht="19.5" customHeight="1" x14ac:dyDescent="0.3">
      <c r="A106" s="495"/>
      <c r="B106" s="495"/>
      <c r="C106" s="495"/>
      <c r="D106" s="495"/>
      <c r="E106" s="495"/>
    </row>
    <row r="107" spans="1:10" ht="26.25" customHeight="1" x14ac:dyDescent="0.4">
      <c r="A107" s="443" t="s">
        <v>116</v>
      </c>
      <c r="B107" s="444">
        <v>1000</v>
      </c>
      <c r="C107" s="560" t="s">
        <v>117</v>
      </c>
      <c r="D107" s="561" t="s">
        <v>61</v>
      </c>
      <c r="E107" s="562" t="s">
        <v>118</v>
      </c>
      <c r="F107" s="563" t="s">
        <v>119</v>
      </c>
    </row>
    <row r="108" spans="1:10" ht="26.25" customHeight="1" x14ac:dyDescent="0.4">
      <c r="A108" s="445" t="s">
        <v>120</v>
      </c>
      <c r="B108" s="446">
        <v>1</v>
      </c>
      <c r="C108" s="564">
        <v>1</v>
      </c>
      <c r="D108" s="565">
        <v>195902285</v>
      </c>
      <c r="E108" s="596">
        <f t="shared" ref="E108:E113" si="1">IF(ISBLANK(D108),"-",D108/$D$103*$D$100*$B$116)</f>
        <v>594.44601784857537</v>
      </c>
      <c r="F108" s="566">
        <f t="shared" ref="F108:F113" si="2">IF(ISBLANK(D108), "-", E108/$B$56)</f>
        <v>0.99074336308095889</v>
      </c>
    </row>
    <row r="109" spans="1:10" ht="26.25" customHeight="1" x14ac:dyDescent="0.4">
      <c r="A109" s="445" t="s">
        <v>93</v>
      </c>
      <c r="B109" s="446">
        <v>1</v>
      </c>
      <c r="C109" s="564">
        <v>2</v>
      </c>
      <c r="D109" s="565">
        <v>195379211</v>
      </c>
      <c r="E109" s="597">
        <f t="shared" si="1"/>
        <v>592.85880177123283</v>
      </c>
      <c r="F109" s="567">
        <f t="shared" si="2"/>
        <v>0.98809800295205474</v>
      </c>
    </row>
    <row r="110" spans="1:10" ht="26.25" customHeight="1" x14ac:dyDescent="0.4">
      <c r="A110" s="445" t="s">
        <v>94</v>
      </c>
      <c r="B110" s="446">
        <v>1</v>
      </c>
      <c r="C110" s="564">
        <v>3</v>
      </c>
      <c r="D110" s="565">
        <v>195188762</v>
      </c>
      <c r="E110" s="597">
        <f t="shared" si="1"/>
        <v>592.28090320484682</v>
      </c>
      <c r="F110" s="567">
        <f t="shared" si="2"/>
        <v>0.98713483867474472</v>
      </c>
    </row>
    <row r="111" spans="1:10" ht="26.25" customHeight="1" x14ac:dyDescent="0.4">
      <c r="A111" s="445" t="s">
        <v>95</v>
      </c>
      <c r="B111" s="446">
        <v>1</v>
      </c>
      <c r="C111" s="564">
        <v>4</v>
      </c>
      <c r="D111" s="565">
        <v>191907113</v>
      </c>
      <c r="E111" s="597">
        <f t="shared" si="1"/>
        <v>582.323065397969</v>
      </c>
      <c r="F111" s="567">
        <f t="shared" si="2"/>
        <v>0.97053844232994835</v>
      </c>
    </row>
    <row r="112" spans="1:10" ht="26.25" customHeight="1" x14ac:dyDescent="0.4">
      <c r="A112" s="445" t="s">
        <v>96</v>
      </c>
      <c r="B112" s="446">
        <v>1</v>
      </c>
      <c r="C112" s="564">
        <v>5</v>
      </c>
      <c r="D112" s="565">
        <v>194654854</v>
      </c>
      <c r="E112" s="597">
        <f t="shared" si="1"/>
        <v>590.66081243103326</v>
      </c>
      <c r="F112" s="567">
        <f t="shared" si="2"/>
        <v>0.98443468738505546</v>
      </c>
    </row>
    <row r="113" spans="1:10" ht="26.25" customHeight="1" x14ac:dyDescent="0.4">
      <c r="A113" s="445" t="s">
        <v>98</v>
      </c>
      <c r="B113" s="446">
        <v>1</v>
      </c>
      <c r="C113" s="568">
        <v>6</v>
      </c>
      <c r="D113" s="569">
        <v>196142824</v>
      </c>
      <c r="E113" s="598">
        <f t="shared" si="1"/>
        <v>595.1759095427293</v>
      </c>
      <c r="F113" s="570">
        <f t="shared" si="2"/>
        <v>0.99195984923788216</v>
      </c>
    </row>
    <row r="114" spans="1:10" ht="26.25" customHeight="1" x14ac:dyDescent="0.4">
      <c r="A114" s="445" t="s">
        <v>99</v>
      </c>
      <c r="B114" s="446">
        <v>1</v>
      </c>
      <c r="C114" s="564"/>
      <c r="D114" s="518"/>
      <c r="E114" s="420"/>
      <c r="F114" s="571"/>
    </row>
    <row r="115" spans="1:10" ht="26.25" customHeight="1" x14ac:dyDescent="0.4">
      <c r="A115" s="445" t="s">
        <v>100</v>
      </c>
      <c r="B115" s="446">
        <v>1</v>
      </c>
      <c r="C115" s="564"/>
      <c r="D115" s="572" t="s">
        <v>69</v>
      </c>
      <c r="E115" s="600">
        <f>AVERAGE(E108:E113)</f>
        <v>591.29091836606437</v>
      </c>
      <c r="F115" s="573">
        <f>AVERAGE(F108:F113)</f>
        <v>0.98548486394344081</v>
      </c>
    </row>
    <row r="116" spans="1:10" ht="27" customHeight="1" x14ac:dyDescent="0.4">
      <c r="A116" s="445" t="s">
        <v>101</v>
      </c>
      <c r="B116" s="477">
        <f>(B115/B114)*(B113/B112)*(B111/B110)*(B109/B108)*B107</f>
        <v>1000</v>
      </c>
      <c r="C116" s="574"/>
      <c r="D116" s="537" t="s">
        <v>82</v>
      </c>
      <c r="E116" s="575">
        <f>STDEV(E108:E113)/E115</f>
        <v>7.9074219097179585E-3</v>
      </c>
      <c r="F116" s="575">
        <f>STDEV(F108:F113)/F115</f>
        <v>7.9074219097179481E-3</v>
      </c>
      <c r="I116" s="420"/>
    </row>
    <row r="117" spans="1:10" ht="27" customHeight="1" x14ac:dyDescent="0.4">
      <c r="A117" s="623" t="s">
        <v>76</v>
      </c>
      <c r="B117" s="624"/>
      <c r="C117" s="576"/>
      <c r="D117" s="577" t="s">
        <v>18</v>
      </c>
      <c r="E117" s="578">
        <f>COUNT(E108:E113)</f>
        <v>6</v>
      </c>
      <c r="F117" s="578">
        <f>COUNT(F108:F113)</f>
        <v>6</v>
      </c>
      <c r="I117" s="420"/>
      <c r="J117" s="557"/>
    </row>
    <row r="118" spans="1:10" ht="19.5" customHeight="1" x14ac:dyDescent="0.3">
      <c r="A118" s="625"/>
      <c r="B118" s="626"/>
      <c r="C118" s="420"/>
      <c r="D118" s="420"/>
      <c r="E118" s="420"/>
      <c r="F118" s="518"/>
      <c r="G118" s="420"/>
      <c r="H118" s="420"/>
      <c r="I118" s="420"/>
    </row>
    <row r="119" spans="1:10" ht="18.75" x14ac:dyDescent="0.3">
      <c r="A119" s="587"/>
      <c r="B119" s="441"/>
      <c r="C119" s="420"/>
      <c r="D119" s="420"/>
      <c r="E119" s="420"/>
      <c r="F119" s="518"/>
      <c r="G119" s="420"/>
      <c r="H119" s="420"/>
      <c r="I119" s="420"/>
    </row>
    <row r="120" spans="1:10" ht="26.25" customHeight="1" x14ac:dyDescent="0.4">
      <c r="A120" s="429" t="s">
        <v>104</v>
      </c>
      <c r="B120" s="525" t="s">
        <v>121</v>
      </c>
      <c r="C120" s="635" t="str">
        <f>B20</f>
        <v>Tenofovir Disoproxil Fumarate 300mg, Lamivudine 300mg &amp; Efavirenz 600mg tablets</v>
      </c>
      <c r="D120" s="635"/>
      <c r="E120" s="526" t="s">
        <v>122</v>
      </c>
      <c r="F120" s="526"/>
      <c r="G120" s="527">
        <f>F115</f>
        <v>0.98548486394344081</v>
      </c>
      <c r="H120" s="420"/>
      <c r="I120" s="420"/>
    </row>
    <row r="121" spans="1:10" ht="19.5" customHeight="1" x14ac:dyDescent="0.3">
      <c r="A121" s="579"/>
      <c r="B121" s="579"/>
      <c r="C121" s="580"/>
      <c r="D121" s="580"/>
      <c r="E121" s="580"/>
      <c r="F121" s="580"/>
      <c r="G121" s="580"/>
      <c r="H121" s="580"/>
    </row>
    <row r="122" spans="1:10" ht="18.75" x14ac:dyDescent="0.3">
      <c r="B122" s="636" t="s">
        <v>24</v>
      </c>
      <c r="C122" s="636"/>
      <c r="E122" s="532" t="s">
        <v>25</v>
      </c>
      <c r="F122" s="581"/>
      <c r="G122" s="636" t="s">
        <v>26</v>
      </c>
      <c r="H122" s="636"/>
    </row>
    <row r="123" spans="1:10" ht="69.95" customHeight="1" x14ac:dyDescent="0.3">
      <c r="A123" s="582" t="s">
        <v>27</v>
      </c>
      <c r="B123" s="583"/>
      <c r="C123" s="583"/>
      <c r="E123" s="583"/>
      <c r="F123" s="420"/>
      <c r="G123" s="584"/>
      <c r="H123" s="584"/>
    </row>
    <row r="124" spans="1:10" ht="69.95" customHeight="1" x14ac:dyDescent="0.3">
      <c r="A124" s="582" t="s">
        <v>28</v>
      </c>
      <c r="B124" s="585"/>
      <c r="C124" s="585"/>
      <c r="E124" s="585"/>
      <c r="F124" s="420"/>
      <c r="G124" s="586"/>
      <c r="H124" s="586"/>
    </row>
    <row r="125" spans="1:10" ht="18.75" x14ac:dyDescent="0.3">
      <c r="A125" s="517"/>
      <c r="B125" s="517"/>
      <c r="C125" s="518"/>
      <c r="D125" s="518"/>
      <c r="E125" s="518"/>
      <c r="F125" s="522"/>
      <c r="G125" s="518"/>
      <c r="H125" s="518"/>
      <c r="I125" s="420"/>
    </row>
    <row r="126" spans="1:10" ht="18.75" x14ac:dyDescent="0.3">
      <c r="A126" s="517"/>
      <c r="B126" s="517"/>
      <c r="C126" s="518"/>
      <c r="D126" s="518"/>
      <c r="E126" s="518"/>
      <c r="F126" s="522"/>
      <c r="G126" s="518"/>
      <c r="H126" s="518"/>
      <c r="I126" s="420"/>
    </row>
    <row r="127" spans="1:10" ht="18.75" x14ac:dyDescent="0.3">
      <c r="A127" s="517"/>
      <c r="B127" s="517"/>
      <c r="C127" s="518"/>
      <c r="D127" s="518"/>
      <c r="E127" s="518"/>
      <c r="F127" s="522"/>
      <c r="G127" s="518"/>
      <c r="H127" s="518"/>
      <c r="I127" s="420"/>
    </row>
    <row r="128" spans="1:10" ht="18.75" x14ac:dyDescent="0.3">
      <c r="A128" s="517"/>
      <c r="B128" s="517"/>
      <c r="C128" s="518"/>
      <c r="D128" s="518"/>
      <c r="E128" s="518"/>
      <c r="F128" s="522"/>
      <c r="G128" s="518"/>
      <c r="H128" s="518"/>
      <c r="I128" s="420"/>
    </row>
    <row r="129" spans="1:9" ht="18.75" x14ac:dyDescent="0.3">
      <c r="A129" s="517"/>
      <c r="B129" s="517"/>
      <c r="C129" s="518"/>
      <c r="D129" s="518"/>
      <c r="E129" s="518"/>
      <c r="F129" s="522"/>
      <c r="G129" s="518"/>
      <c r="H129" s="518"/>
      <c r="I129" s="420"/>
    </row>
    <row r="130" spans="1:9" ht="18.75" x14ac:dyDescent="0.3">
      <c r="A130" s="517"/>
      <c r="B130" s="517"/>
      <c r="C130" s="518"/>
      <c r="D130" s="518"/>
      <c r="E130" s="518"/>
      <c r="F130" s="522"/>
      <c r="G130" s="518"/>
      <c r="H130" s="518"/>
      <c r="I130" s="420"/>
    </row>
    <row r="131" spans="1:9" ht="18.75" x14ac:dyDescent="0.3">
      <c r="A131" s="517"/>
      <c r="B131" s="517"/>
      <c r="C131" s="518"/>
      <c r="D131" s="518"/>
      <c r="E131" s="518"/>
      <c r="F131" s="522"/>
      <c r="G131" s="518"/>
      <c r="H131" s="518"/>
      <c r="I131" s="420"/>
    </row>
    <row r="132" spans="1:9" ht="18.75" x14ac:dyDescent="0.3">
      <c r="A132" s="517"/>
      <c r="B132" s="517"/>
      <c r="C132" s="518"/>
      <c r="D132" s="518"/>
      <c r="E132" s="518"/>
      <c r="F132" s="522"/>
      <c r="G132" s="518"/>
      <c r="H132" s="518"/>
      <c r="I132" s="420"/>
    </row>
    <row r="133" spans="1:9" ht="18.75" x14ac:dyDescent="0.3">
      <c r="A133" s="517"/>
      <c r="B133" s="517"/>
      <c r="C133" s="518"/>
      <c r="D133" s="518"/>
      <c r="E133" s="518"/>
      <c r="F133" s="522"/>
      <c r="G133" s="518"/>
      <c r="H133" s="518"/>
      <c r="I133" s="42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LAMIVUDINE</vt:lpstr>
      <vt:lpstr>SST TENOFOVIR</vt:lpstr>
      <vt:lpstr>SST EFAVIRENZ</vt:lpstr>
      <vt:lpstr>Uniformity</vt:lpstr>
      <vt:lpstr>Lamivudine</vt:lpstr>
      <vt:lpstr>Tenofovir Disoproxil Fumarate</vt:lpstr>
      <vt:lpstr>Efavirenz</vt:lpstr>
      <vt:lpstr>Efavirenz!Print_Area</vt:lpstr>
      <vt:lpstr>Lamivudine!Print_Area</vt:lpstr>
      <vt:lpstr>'SST EFAVIRENZ'!Print_Area</vt:lpstr>
      <vt:lpstr>'SST LAMIVUDINE'!Print_Area</vt:lpstr>
      <vt:lpstr>'SST TENOFOVIR'!Print_Area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2016-05-20T12:13:34Z</cp:lastPrinted>
  <dcterms:created xsi:type="dcterms:W3CDTF">2005-07-05T10:19:27Z</dcterms:created>
  <dcterms:modified xsi:type="dcterms:W3CDTF">2016-05-23T06:18:54Z</dcterms:modified>
</cp:coreProperties>
</file>