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10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C46" i="10"/>
  <c r="D50" i="10" s="1"/>
  <c r="C45" i="10"/>
  <c r="D28" i="10"/>
  <c r="D24" i="10"/>
  <c r="C19" i="10"/>
  <c r="D32" i="10" l="1"/>
  <c r="D36" i="10"/>
  <c r="D40" i="10"/>
  <c r="D49" i="10"/>
  <c r="D25" i="10"/>
  <c r="D29" i="10"/>
  <c r="D33" i="10"/>
  <c r="D37" i="10"/>
  <c r="D41" i="10"/>
  <c r="D27" i="10"/>
  <c r="D31" i="10"/>
  <c r="D35" i="10"/>
  <c r="D39" i="10"/>
  <c r="D43" i="10"/>
  <c r="C49" i="10"/>
  <c r="C50" i="10"/>
  <c r="D26" i="10"/>
  <c r="D30" i="10"/>
  <c r="D34" i="10"/>
  <c r="D38" i="10"/>
  <c r="D42" i="10"/>
  <c r="B49" i="10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30" i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B30" i="1"/>
  <c r="B31" i="1" s="1"/>
  <c r="D97" i="3" l="1"/>
  <c r="D98" i="3" s="1"/>
  <c r="D99" i="3" s="1"/>
  <c r="I92" i="3"/>
  <c r="I92" i="5"/>
  <c r="D101" i="4"/>
  <c r="D102" i="4" s="1"/>
  <c r="D97" i="4"/>
  <c r="D98" i="4" s="1"/>
  <c r="I39" i="4"/>
  <c r="I39" i="5"/>
  <c r="F98" i="4"/>
  <c r="F99" i="4" s="1"/>
  <c r="I92" i="4"/>
  <c r="D45" i="3"/>
  <c r="E38" i="3" s="1"/>
  <c r="I39" i="3"/>
  <c r="D101" i="5"/>
  <c r="G93" i="5" s="1"/>
  <c r="D45" i="4"/>
  <c r="E40" i="4" s="1"/>
  <c r="F99" i="3"/>
  <c r="D101" i="3"/>
  <c r="G93" i="3" s="1"/>
  <c r="B69" i="3"/>
  <c r="D46" i="3"/>
  <c r="E41" i="3"/>
  <c r="D49" i="4"/>
  <c r="E39" i="4"/>
  <c r="E94" i="4"/>
  <c r="G94" i="4"/>
  <c r="E39" i="3"/>
  <c r="B69" i="4"/>
  <c r="B69" i="5"/>
  <c r="D46" i="4"/>
  <c r="D49" i="3"/>
  <c r="E40" i="3"/>
  <c r="F44" i="3"/>
  <c r="F45" i="3" s="1"/>
  <c r="G38" i="3" s="1"/>
  <c r="F44" i="4"/>
  <c r="F45" i="4" s="1"/>
  <c r="F46" i="4" s="1"/>
  <c r="F98" i="5"/>
  <c r="F99" i="5" s="1"/>
  <c r="D44" i="5"/>
  <c r="D45" i="5" s="1"/>
  <c r="D46" i="5" s="1"/>
  <c r="F44" i="5"/>
  <c r="F45" i="5" s="1"/>
  <c r="F46" i="5" s="1"/>
  <c r="D49" i="5"/>
  <c r="D102" i="5"/>
  <c r="G94" i="5"/>
  <c r="D97" i="5"/>
  <c r="D98" i="5" s="1"/>
  <c r="D99" i="5" s="1"/>
  <c r="G93" i="4" l="1"/>
  <c r="G92" i="4"/>
  <c r="D99" i="4"/>
  <c r="E93" i="4"/>
  <c r="E91" i="4"/>
  <c r="E92" i="4"/>
  <c r="G91" i="4"/>
  <c r="G91" i="5"/>
  <c r="E41" i="5"/>
  <c r="E39" i="5"/>
  <c r="E91" i="5"/>
  <c r="E38" i="5"/>
  <c r="G41" i="5"/>
  <c r="G92" i="5"/>
  <c r="E92" i="5"/>
  <c r="E38" i="4"/>
  <c r="E41" i="4"/>
  <c r="G38" i="4"/>
  <c r="G39" i="4"/>
  <c r="G91" i="3"/>
  <c r="G94" i="3"/>
  <c r="E94" i="3"/>
  <c r="E91" i="3"/>
  <c r="D102" i="3"/>
  <c r="E93" i="3"/>
  <c r="G92" i="3"/>
  <c r="E92" i="3"/>
  <c r="G38" i="5"/>
  <c r="F46" i="3"/>
  <c r="G41" i="3"/>
  <c r="E40" i="5"/>
  <c r="E42" i="3"/>
  <c r="G39" i="5"/>
  <c r="G39" i="3"/>
  <c r="E94" i="5"/>
  <c r="E93" i="5"/>
  <c r="G40" i="5"/>
  <c r="G40" i="3"/>
  <c r="G40" i="4"/>
  <c r="G41" i="4"/>
  <c r="E95" i="4" l="1"/>
  <c r="D103" i="4"/>
  <c r="E108" i="4" s="1"/>
  <c r="D105" i="4"/>
  <c r="G95" i="4"/>
  <c r="G95" i="5"/>
  <c r="E95" i="5"/>
  <c r="D105" i="5"/>
  <c r="D103" i="5"/>
  <c r="E110" i="5" s="1"/>
  <c r="F110" i="5" s="1"/>
  <c r="D52" i="5"/>
  <c r="E42" i="5"/>
  <c r="D50" i="5"/>
  <c r="G66" i="5" s="1"/>
  <c r="H66" i="5" s="1"/>
  <c r="G42" i="5"/>
  <c r="E42" i="4"/>
  <c r="D52" i="4"/>
  <c r="G42" i="4"/>
  <c r="D50" i="4"/>
  <c r="G68" i="4" s="1"/>
  <c r="H68" i="4" s="1"/>
  <c r="G95" i="3"/>
  <c r="D103" i="3"/>
  <c r="E110" i="3" s="1"/>
  <c r="F110" i="3" s="1"/>
  <c r="E95" i="3"/>
  <c r="D52" i="3"/>
  <c r="D105" i="3"/>
  <c r="D50" i="3"/>
  <c r="G66" i="3" s="1"/>
  <c r="H66" i="3" s="1"/>
  <c r="G42" i="3"/>
  <c r="D104" i="4"/>
  <c r="E111" i="5" l="1"/>
  <c r="F111" i="5" s="1"/>
  <c r="E110" i="4"/>
  <c r="F110" i="4" s="1"/>
  <c r="E113" i="4"/>
  <c r="F113" i="4" s="1"/>
  <c r="E112" i="4"/>
  <c r="F112" i="4" s="1"/>
  <c r="E109" i="4"/>
  <c r="F109" i="4" s="1"/>
  <c r="E111" i="4"/>
  <c r="F111" i="4" s="1"/>
  <c r="G66" i="4"/>
  <c r="H66" i="4" s="1"/>
  <c r="G71" i="5"/>
  <c r="H71" i="5" s="1"/>
  <c r="E112" i="5"/>
  <c r="F112" i="5" s="1"/>
  <c r="D104" i="5"/>
  <c r="E108" i="5"/>
  <c r="E113" i="5"/>
  <c r="F113" i="5" s="1"/>
  <c r="E109" i="5"/>
  <c r="F109" i="5" s="1"/>
  <c r="G65" i="5"/>
  <c r="H65" i="5" s="1"/>
  <c r="G67" i="5"/>
  <c r="H67" i="5" s="1"/>
  <c r="G62" i="5"/>
  <c r="H62" i="5" s="1"/>
  <c r="D51" i="5"/>
  <c r="G64" i="5"/>
  <c r="H64" i="5" s="1"/>
  <c r="G61" i="5"/>
  <c r="H61" i="5" s="1"/>
  <c r="G70" i="5"/>
  <c r="H70" i="5" s="1"/>
  <c r="G63" i="5"/>
  <c r="H63" i="5" s="1"/>
  <c r="G60" i="5"/>
  <c r="H60" i="5" s="1"/>
  <c r="G69" i="5"/>
  <c r="H69" i="5" s="1"/>
  <c r="G68" i="5"/>
  <c r="H68" i="5" s="1"/>
  <c r="G63" i="4"/>
  <c r="H63" i="4" s="1"/>
  <c r="G60" i="4"/>
  <c r="H60" i="4" s="1"/>
  <c r="G71" i="4"/>
  <c r="H71" i="4" s="1"/>
  <c r="G69" i="4"/>
  <c r="H69" i="4" s="1"/>
  <c r="D51" i="4"/>
  <c r="G70" i="4"/>
  <c r="H70" i="4" s="1"/>
  <c r="G62" i="4"/>
  <c r="H62" i="4" s="1"/>
  <c r="G67" i="4"/>
  <c r="H67" i="4" s="1"/>
  <c r="G61" i="4"/>
  <c r="H61" i="4" s="1"/>
  <c r="G65" i="4"/>
  <c r="H65" i="4" s="1"/>
  <c r="G64" i="4"/>
  <c r="H64" i="4" s="1"/>
  <c r="E111" i="3"/>
  <c r="F111" i="3" s="1"/>
  <c r="D104" i="3"/>
  <c r="E112" i="3"/>
  <c r="F112" i="3" s="1"/>
  <c r="E109" i="3"/>
  <c r="F109" i="3" s="1"/>
  <c r="E108" i="3"/>
  <c r="F108" i="3" s="1"/>
  <c r="E113" i="3"/>
  <c r="F113" i="3" s="1"/>
  <c r="G71" i="3"/>
  <c r="H71" i="3" s="1"/>
  <c r="G68" i="3"/>
  <c r="H68" i="3" s="1"/>
  <c r="G63" i="3"/>
  <c r="H63" i="3" s="1"/>
  <c r="D51" i="3"/>
  <c r="G70" i="3"/>
  <c r="H70" i="3" s="1"/>
  <c r="G65" i="3"/>
  <c r="H65" i="3" s="1"/>
  <c r="G60" i="3"/>
  <c r="H60" i="3" s="1"/>
  <c r="G62" i="3"/>
  <c r="H62" i="3" s="1"/>
  <c r="G67" i="3"/>
  <c r="H67" i="3" s="1"/>
  <c r="G61" i="3"/>
  <c r="H61" i="3" s="1"/>
  <c r="G64" i="3"/>
  <c r="H64" i="3" s="1"/>
  <c r="G69" i="3"/>
  <c r="H69" i="3" s="1"/>
  <c r="F108" i="4"/>
  <c r="E115" i="4" l="1"/>
  <c r="E116" i="4" s="1"/>
  <c r="E117" i="4"/>
  <c r="E117" i="5"/>
  <c r="E115" i="5"/>
  <c r="E116" i="5" s="1"/>
  <c r="F108" i="5"/>
  <c r="F117" i="5" s="1"/>
  <c r="G72" i="5"/>
  <c r="G73" i="5" s="1"/>
  <c r="G74" i="5"/>
  <c r="G72" i="4"/>
  <c r="G73" i="4" s="1"/>
  <c r="G74" i="4"/>
  <c r="E115" i="3"/>
  <c r="E116" i="3" s="1"/>
  <c r="E117" i="3"/>
  <c r="G72" i="3"/>
  <c r="G73" i="3" s="1"/>
  <c r="G74" i="3"/>
  <c r="F117" i="4"/>
  <c r="F115" i="4"/>
  <c r="H72" i="5"/>
  <c r="H74" i="5"/>
  <c r="F117" i="3"/>
  <c r="F115" i="3"/>
  <c r="H72" i="4"/>
  <c r="H74" i="4"/>
  <c r="H72" i="3"/>
  <c r="H74" i="3"/>
  <c r="F115" i="5" l="1"/>
  <c r="F116" i="5" s="1"/>
  <c r="G76" i="3"/>
  <c r="H73" i="3"/>
  <c r="G76" i="5"/>
  <c r="H73" i="5"/>
  <c r="G120" i="3"/>
  <c r="F116" i="3"/>
  <c r="G120" i="4"/>
  <c r="F116" i="4"/>
  <c r="G76" i="4"/>
  <c r="H73" i="4"/>
  <c r="G120" i="5" l="1"/>
</calcChain>
</file>

<file path=xl/sharedStrings.xml><?xml version="1.0" encoding="utf-8"?>
<sst xmlns="http://schemas.openxmlformats.org/spreadsheetml/2006/main" count="645" uniqueCount="137">
  <si>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</si>
  <si>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</si>
  <si>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</si>
  <si>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</si>
  <si>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</si>
  <si>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</si>
  <si>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</si>
  <si>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</si>
  <si>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Tenofovir Disoproxil Fumarate 300mg, Lamivudine 300mg &amp; Efavirenz 600mg tablets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</si>
  <si>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</si>
  <si>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</si>
  <si>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</si>
  <si>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</si>
  <si>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</si>
  <si>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</si>
  <si>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</si>
  <si>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</si>
  <si>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</si>
  <si>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</si>
  <si>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</si>
  <si>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</si>
  <si>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</si>
  <si>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</si>
  <si>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</si>
  <si>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</si>
  <si>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</si>
  <si>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</si>
  <si>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</si>
  <si>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</si>
  <si>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</si>
  <si>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</si>
  <si>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</si>
  <si>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</si>
  <si>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</si>
  <si>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</si>
  <si>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</si>
  <si>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</si>
  <si>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</si>
  <si>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</si>
  <si>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</si>
  <si>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</si>
  <si>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</si>
  <si>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</si>
  <si>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</si>
  <si>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</si>
  <si>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</si>
  <si>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</si>
  <si>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</si>
  <si>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</si>
  <si>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</si>
  <si>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</si>
  <si>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</si>
  <si>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</si>
  <si>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</si>
  <si>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</si>
  <si>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</si>
  <si>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</si>
  <si>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</si>
  <si>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</si>
  <si>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</si>
  <si>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</si>
  <si>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</si>
  <si>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</si>
  <si>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</si>
  <si>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</si>
  <si>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</si>
  <si>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</si>
  <si>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</si>
  <si>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</si>
  <si>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</si>
  <si>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</si>
  <si>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</si>
  <si>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</si>
  <si>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</si>
  <si>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</si>
  <si>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</si>
  <si>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</si>
  <si>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</si>
  <si>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</si>
  <si>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</si>
  <si>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</si>
  <si>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</si>
  <si>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</si>
  <si>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</si>
  <si>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</si>
  <si>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</si>
  <si>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</si>
  <si>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</si>
  <si>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</si>
  <si>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</si>
  <si>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</si>
  <si>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</si>
  <si>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</si>
  <si>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</si>
  <si>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</si>
  <si>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</si>
  <si>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</si>
  <si>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</si>
  <si>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</si>
  <si>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</si>
  <si>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</si>
  <si>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</si>
  <si>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</si>
  <si>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</si>
  <si>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</si>
  <si>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</si>
  <si>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</si>
  <si>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</si>
  <si>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</si>
  <si>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</si>
  <si>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</si>
  <si>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</si>
  <si>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</si>
  <si>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</si>
  <si>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</si>
  <si>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</si>
  <si>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</si>
  <si>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</si>
  <si>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</si>
  <si>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</si>
  <si>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</si>
  <si>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</si>
  <si>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film-coated tablet contains Efavirenz 600mg, Lamivudine USP 300mg, Tenofovir Disoproxil Fumarate 300mg euivalent to tenofovir disoproxil 245mg</t>
  </si>
  <si>
    <t>Efavirenz 600mg, Lamivudine 300mg and Tenofovir Disoproxil Fumarate 300mg Tablets</t>
  </si>
  <si>
    <t>Lamivudine</t>
  </si>
  <si>
    <t>L3-9</t>
  </si>
  <si>
    <t>Tenofovir Disoproxil Fumarate</t>
  </si>
  <si>
    <t>T11-6</t>
  </si>
  <si>
    <t>EFAVIRENZ</t>
  </si>
  <si>
    <t>E15-3</t>
  </si>
  <si>
    <t>Tenofovir Disoproxil Fumarate, Lamivudine &amp; Efavirenz tablets</t>
  </si>
  <si>
    <t>Each tablet contains Tenofovir Disoproxil Fumarate 300mg, Lamivudine 300mg &amp; Efavirenz 600mg tablets</t>
  </si>
  <si>
    <t>NDQB201605897</t>
  </si>
  <si>
    <t>2016-05-06 11:07:50</t>
  </si>
  <si>
    <t xml:space="preserve">  LAMIVUDINE</t>
  </si>
  <si>
    <t>TENOFOVIR DISOPROXIL FUMARATE</t>
  </si>
  <si>
    <t xml:space="preserve">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</si>
</sst>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4" fillId="3" borderId="0" xfId="1" applyFont="1" applyFill="1" applyAlignment="1" applyProtection="1">
      <alignment horizontal="left" wrapText="1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" fillId="2" borderId="0" xfId="6" applyFont="1" applyFill="1"/>
    <xf numFmtId="0" fontId="10" fillId="2" borderId="18" xfId="6" applyFont="1" applyFill="1" applyBorder="1" applyAlignment="1">
      <alignment horizontal="center" wrapText="1"/>
    </xf>
    <xf numFmtId="0" fontId="10" fillId="2" borderId="19" xfId="6" applyFont="1" applyFill="1" applyBorder="1" applyAlignment="1">
      <alignment horizontal="center" wrapText="1"/>
    </xf>
    <xf numFmtId="0" fontId="10" fillId="2" borderId="20" xfId="6" applyFont="1" applyFill="1" applyBorder="1" applyAlignment="1">
      <alignment horizontal="center" wrapText="1"/>
    </xf>
    <xf numFmtId="0" fontId="10" fillId="2" borderId="0" xfId="6" applyFont="1" applyFill="1" applyAlignment="1">
      <alignment wrapText="1"/>
    </xf>
    <xf numFmtId="0" fontId="4" fillId="2" borderId="0" xfId="6" applyFont="1" applyFill="1" applyAlignment="1">
      <alignment horizontal="center"/>
    </xf>
    <xf numFmtId="0" fontId="4" fillId="2" borderId="0" xfId="6" applyFont="1" applyFill="1"/>
    <xf numFmtId="0" fontId="5" fillId="2" borderId="0" xfId="6" applyFont="1" applyFill="1" applyAlignment="1">
      <alignment horizontal="right"/>
    </xf>
    <xf numFmtId="0" fontId="6" fillId="2" borderId="0" xfId="6" applyFont="1" applyFill="1"/>
    <xf numFmtId="167" fontId="6" fillId="2" borderId="0" xfId="6" applyNumberFormat="1" applyFont="1" applyFill="1" applyAlignment="1">
      <alignment horizontal="center"/>
    </xf>
    <xf numFmtId="0" fontId="5" fillId="2" borderId="0" xfId="6" applyFont="1" applyFill="1" applyAlignment="1">
      <alignment horizontal="right"/>
    </xf>
    <xf numFmtId="167" fontId="6" fillId="2" borderId="0" xfId="6" applyNumberFormat="1" applyFont="1" applyFill="1"/>
    <xf numFmtId="0" fontId="4" fillId="2" borderId="0" xfId="6" applyFont="1" applyFill="1" applyAlignment="1">
      <alignment horizontal="left"/>
    </xf>
    <xf numFmtId="0" fontId="9" fillId="2" borderId="0" xfId="6" applyFont="1" applyFill="1"/>
    <xf numFmtId="164" fontId="1" fillId="2" borderId="0" xfId="6" applyNumberFormat="1" applyFont="1" applyFill="1" applyAlignment="1">
      <alignment horizontal="center"/>
    </xf>
    <xf numFmtId="164" fontId="1" fillId="2" borderId="0" xfId="6" applyNumberFormat="1" applyFont="1" applyFill="1"/>
    <xf numFmtId="164" fontId="5" fillId="2" borderId="12" xfId="6" applyNumberFormat="1" applyFont="1" applyFill="1" applyBorder="1" applyAlignment="1">
      <alignment horizontal="center" wrapText="1"/>
    </xf>
    <xf numFmtId="0" fontId="5" fillId="2" borderId="12" xfId="6" applyFont="1" applyFill="1" applyBorder="1" applyAlignment="1">
      <alignment horizontal="center" wrapText="1"/>
    </xf>
    <xf numFmtId="0" fontId="2" fillId="2" borderId="0" xfId="6" applyFont="1" applyFill="1" applyAlignment="1">
      <alignment horizontal="center"/>
    </xf>
    <xf numFmtId="2" fontId="6" fillId="3" borderId="14" xfId="6" applyNumberFormat="1" applyFont="1" applyFill="1" applyBorder="1" applyProtection="1">
      <protection locked="0"/>
    </xf>
    <xf numFmtId="10" fontId="6" fillId="2" borderId="13" xfId="6" applyNumberFormat="1" applyFont="1" applyFill="1" applyBorder="1" applyAlignment="1">
      <alignment horizontal="center"/>
    </xf>
    <xf numFmtId="10" fontId="6" fillId="2" borderId="0" xfId="6" applyNumberFormat="1" applyFont="1" applyFill="1" applyAlignment="1">
      <alignment horizontal="center"/>
    </xf>
    <xf numFmtId="10" fontId="6" fillId="2" borderId="14" xfId="6" applyNumberFormat="1" applyFont="1" applyFill="1" applyBorder="1" applyAlignment="1">
      <alignment horizontal="center"/>
    </xf>
    <xf numFmtId="2" fontId="6" fillId="3" borderId="15" xfId="6" applyNumberFormat="1" applyFont="1" applyFill="1" applyBorder="1" applyProtection="1">
      <protection locked="0"/>
    </xf>
    <xf numFmtId="10" fontId="6" fillId="2" borderId="15" xfId="6" applyNumberFormat="1" applyFont="1" applyFill="1" applyBorder="1" applyAlignment="1">
      <alignment horizontal="center"/>
    </xf>
    <xf numFmtId="166" fontId="2" fillId="2" borderId="0" xfId="6" applyNumberFormat="1" applyFont="1" applyFill="1" applyAlignment="1">
      <alignment horizontal="center"/>
    </xf>
    <xf numFmtId="10" fontId="2" fillId="2" borderId="0" xfId="6" applyNumberFormat="1" applyFont="1" applyFill="1" applyAlignment="1">
      <alignment horizontal="center"/>
    </xf>
    <xf numFmtId="0" fontId="6" fillId="2" borderId="12" xfId="6" applyFont="1" applyFill="1" applyBorder="1" applyAlignment="1">
      <alignment horizontal="right" vertical="center"/>
    </xf>
    <xf numFmtId="166" fontId="6" fillId="2" borderId="12" xfId="6" applyNumberFormat="1" applyFont="1" applyFill="1" applyBorder="1" applyAlignment="1">
      <alignment horizontal="center" vertical="center"/>
    </xf>
    <xf numFmtId="166" fontId="6" fillId="2" borderId="0" xfId="6" applyNumberFormat="1" applyFont="1" applyFill="1" applyAlignment="1">
      <alignment horizontal="center"/>
    </xf>
    <xf numFmtId="164" fontId="5" fillId="2" borderId="12" xfId="6" applyNumberFormat="1" applyFont="1" applyFill="1" applyBorder="1" applyAlignment="1">
      <alignment horizontal="center" vertical="center"/>
    </xf>
    <xf numFmtId="2" fontId="8" fillId="2" borderId="0" xfId="6" applyNumberFormat="1" applyFont="1" applyFill="1" applyAlignment="1">
      <alignment horizontal="right"/>
    </xf>
    <xf numFmtId="2" fontId="5" fillId="2" borderId="0" xfId="6" applyNumberFormat="1" applyFont="1" applyFill="1"/>
    <xf numFmtId="2" fontId="8" fillId="2" borderId="0" xfId="6" applyNumberFormat="1" applyFont="1" applyFill="1"/>
    <xf numFmtId="0" fontId="5" fillId="2" borderId="12" xfId="6" applyFont="1" applyFill="1" applyBorder="1" applyAlignment="1">
      <alignment horizontal="center" vertical="center"/>
    </xf>
    <xf numFmtId="10" fontId="2" fillId="2" borderId="0" xfId="6" applyNumberFormat="1" applyFont="1" applyFill="1"/>
    <xf numFmtId="166" fontId="5" fillId="2" borderId="13" xfId="6" applyNumberFormat="1" applyFont="1" applyFill="1" applyBorder="1" applyAlignment="1">
      <alignment horizontal="center" vertical="center"/>
    </xf>
    <xf numFmtId="165" fontId="5" fillId="2" borderId="16" xfId="6" applyNumberFormat="1" applyFont="1" applyFill="1" applyBorder="1" applyAlignment="1">
      <alignment horizontal="center"/>
    </xf>
    <xf numFmtId="2" fontId="5" fillId="2" borderId="12" xfId="6" applyNumberFormat="1" applyFont="1" applyFill="1" applyBorder="1" applyAlignment="1">
      <alignment horizontal="center" vertical="center"/>
    </xf>
    <xf numFmtId="166" fontId="5" fillId="2" borderId="15" xfId="6" applyNumberFormat="1" applyFont="1" applyFill="1" applyBorder="1" applyAlignment="1">
      <alignment horizontal="center" vertical="center"/>
    </xf>
    <xf numFmtId="165" fontId="5" fillId="2" borderId="17" xfId="6" applyNumberFormat="1" applyFont="1" applyFill="1" applyBorder="1" applyAlignment="1">
      <alignment horizontal="center"/>
    </xf>
    <xf numFmtId="0" fontId="6" fillId="2" borderId="9" xfId="6" applyFont="1" applyFill="1" applyBorder="1"/>
    <xf numFmtId="0" fontId="6" fillId="2" borderId="0" xfId="6" applyFont="1" applyFill="1" applyAlignment="1">
      <alignment horizontal="center"/>
    </xf>
    <xf numFmtId="10" fontId="6" fillId="2" borderId="9" xfId="6" applyNumberFormat="1" applyFont="1" applyFill="1" applyBorder="1"/>
    <xf numFmtId="0" fontId="5" fillId="2" borderId="10" xfId="6" applyFont="1" applyFill="1" applyBorder="1"/>
    <xf numFmtId="0" fontId="5" fillId="2" borderId="10" xfId="6" applyFont="1" applyFill="1" applyBorder="1" applyAlignment="1">
      <alignment horizontal="center"/>
    </xf>
    <xf numFmtId="0" fontId="6" fillId="2" borderId="10" xfId="6" applyFont="1" applyFill="1" applyBorder="1" applyAlignment="1">
      <alignment horizontal="center"/>
    </xf>
    <xf numFmtId="0" fontId="6" fillId="2" borderId="7" xfId="6" applyFont="1" applyFill="1" applyBorder="1"/>
    <xf numFmtId="0" fontId="5" fillId="2" borderId="11" xfId="6" applyFont="1" applyFill="1" applyBorder="1"/>
    <xf numFmtId="0" fontId="5" fillId="2" borderId="0" xfId="6" applyFont="1" applyFill="1"/>
    <xf numFmtId="0" fontId="6" fillId="2" borderId="11" xfId="6" applyFont="1" applyFill="1" applyBorder="1"/>
    <xf numFmtId="0" fontId="24" fillId="2" borderId="0" xfId="6" applyFill="1"/>
    <xf numFmtId="22" fontId="6" fillId="2" borderId="0" xfId="0" applyNumberFormat="1" applyFont="1" applyFill="1"/>
  </cellXfs>
  <cellStyles count="7">
    <cellStyle name="Normal" xfId="0" builtinId="0"/>
    <cellStyle name="Normal 2" xfId="1"/>
    <cellStyle name="Normal 3" xfId="3"/>
    <cellStyle name="Normal 4" xfId="4"/>
    <cellStyle name="Normal 5" xfId="2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06" t="s">
        <v>0</v>
      </c>
      <c r="B15" s="606"/>
      <c r="C15" s="606"/>
      <c r="D15" s="606"/>
      <c r="E15" s="60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132</v>
      </c>
      <c r="D17" s="9"/>
      <c r="E17" s="10"/>
    </row>
    <row r="18" spans="1:6" ht="16.5" customHeight="1" x14ac:dyDescent="0.3">
      <c r="A18" s="11" t="s">
        <v>4</v>
      </c>
      <c r="B18" s="8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132</v>
      </c>
      <c r="C19" s="10"/>
      <c r="D19" s="10"/>
      <c r="E19" s="10"/>
    </row>
    <row r="20" spans="1:6" ht="16.5" customHeight="1" x14ac:dyDescent="0.3">
      <c r="A20" s="7" t="s">
        <v>7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709">
        <v>42502.719236111108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16603367</v>
      </c>
      <c r="C24" s="18">
        <v>7472.1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16511627</v>
      </c>
      <c r="C25" s="18">
        <v>7639.5</v>
      </c>
      <c r="D25" s="19">
        <v>1.1000000000000001</v>
      </c>
      <c r="E25" s="19">
        <v>5.4</v>
      </c>
    </row>
    <row r="26" spans="1:6" ht="16.5" customHeight="1" x14ac:dyDescent="0.3">
      <c r="A26" s="17">
        <v>3</v>
      </c>
      <c r="B26" s="18">
        <v>16579929</v>
      </c>
      <c r="C26" s="18">
        <v>7762.7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16406951</v>
      </c>
      <c r="C27" s="18">
        <v>7934.7</v>
      </c>
      <c r="D27" s="19">
        <v>1.1200000000000001</v>
      </c>
      <c r="E27" s="19">
        <v>5.5</v>
      </c>
    </row>
    <row r="28" spans="1:6" ht="16.5" customHeight="1" x14ac:dyDescent="0.3">
      <c r="A28" s="17">
        <v>5</v>
      </c>
      <c r="B28" s="18">
        <v>16434340</v>
      </c>
      <c r="C28" s="18">
        <v>8022.1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16489293</v>
      </c>
      <c r="C29" s="21">
        <v>7999.2</v>
      </c>
      <c r="D29" s="22">
        <v>1.1000000000000001</v>
      </c>
      <c r="E29" s="22">
        <v>5.5</v>
      </c>
    </row>
    <row r="30" spans="1:6" ht="16.5" customHeight="1" x14ac:dyDescent="0.3">
      <c r="A30" s="23" t="s">
        <v>15</v>
      </c>
      <c r="B30" s="24">
        <f>AVERAGE(B24:B29)</f>
        <v>16504251.166666666</v>
      </c>
      <c r="C30" s="25">
        <f>AVERAGE(C24:C29)</f>
        <v>7805.0499999999993</v>
      </c>
      <c r="D30" s="26">
        <f>AVERAGE(D24:D29)</f>
        <v>1.1033333333333333</v>
      </c>
      <c r="E30" s="26">
        <f>AVERAGE(E24:E29)</f>
        <v>5.4666666666666659</v>
      </c>
    </row>
    <row r="31" spans="1:6" ht="16.5" customHeight="1" x14ac:dyDescent="0.3">
      <c r="A31" s="27" t="s">
        <v>16</v>
      </c>
      <c r="B31" s="28">
        <f>(STDEV(B24:B29)/B30)</f>
        <v>4.7076967276676561E-3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 t="s">
        <v>134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648">
        <v>88889963</v>
      </c>
      <c r="C45" s="648">
        <v>10538.3</v>
      </c>
      <c r="D45" s="650">
        <v>1.1000000000000001</v>
      </c>
      <c r="E45" s="652">
        <v>5.4</v>
      </c>
    </row>
    <row r="46" spans="1:6" ht="16.5" customHeight="1" x14ac:dyDescent="0.3">
      <c r="A46" s="17">
        <v>2</v>
      </c>
      <c r="B46" s="648">
        <v>88352617</v>
      </c>
      <c r="C46" s="648">
        <v>10425.1</v>
      </c>
      <c r="D46" s="650">
        <v>1.1000000000000001</v>
      </c>
      <c r="E46" s="650">
        <v>5.4</v>
      </c>
    </row>
    <row r="47" spans="1:6" ht="16.5" customHeight="1" x14ac:dyDescent="0.3">
      <c r="A47" s="17">
        <v>3</v>
      </c>
      <c r="B47" s="648">
        <v>88633240</v>
      </c>
      <c r="C47" s="648">
        <v>10379.799999999999</v>
      </c>
      <c r="D47" s="650">
        <v>1.1000000000000001</v>
      </c>
      <c r="E47" s="650">
        <v>5.4</v>
      </c>
    </row>
    <row r="48" spans="1:6" ht="16.5" customHeight="1" x14ac:dyDescent="0.3">
      <c r="A48" s="17">
        <v>4</v>
      </c>
      <c r="B48" s="648">
        <v>88328787</v>
      </c>
      <c r="C48" s="648">
        <v>10373.4</v>
      </c>
      <c r="D48" s="650">
        <v>1.1000000000000001</v>
      </c>
      <c r="E48" s="650">
        <v>5.4</v>
      </c>
    </row>
    <row r="49" spans="1:7" ht="16.5" customHeight="1" x14ac:dyDescent="0.3">
      <c r="A49" s="17">
        <v>5</v>
      </c>
      <c r="B49" s="648">
        <v>88629989</v>
      </c>
      <c r="C49" s="648">
        <v>10436.299999999999</v>
      </c>
      <c r="D49" s="650">
        <v>1.1000000000000001</v>
      </c>
      <c r="E49" s="650">
        <v>5.4</v>
      </c>
    </row>
    <row r="50" spans="1:7" ht="16.5" customHeight="1" x14ac:dyDescent="0.3">
      <c r="A50" s="17">
        <v>6</v>
      </c>
      <c r="B50" s="649">
        <v>88595502</v>
      </c>
      <c r="C50" s="649">
        <v>10427.799999999999</v>
      </c>
      <c r="D50" s="651">
        <v>1.1000000000000001</v>
      </c>
      <c r="E50" s="651">
        <v>5.4</v>
      </c>
    </row>
    <row r="51" spans="1:7" ht="16.5" customHeight="1" x14ac:dyDescent="0.3">
      <c r="A51" s="23" t="s">
        <v>15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16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07" t="s">
        <v>23</v>
      </c>
      <c r="C59" s="60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51" customWidth="1"/>
    <col min="2" max="2" width="20.42578125" style="551" customWidth="1"/>
    <col min="3" max="3" width="31.85546875" style="551" customWidth="1"/>
    <col min="4" max="4" width="25.85546875" style="551" customWidth="1"/>
    <col min="5" max="5" width="25.7109375" style="551" customWidth="1"/>
    <col min="6" max="6" width="23.140625" style="551" customWidth="1"/>
    <col min="7" max="7" width="28.42578125" style="551" customWidth="1"/>
    <col min="8" max="8" width="21.5703125" style="551" customWidth="1"/>
    <col min="9" max="9" width="9.140625" style="55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06" t="s">
        <v>0</v>
      </c>
      <c r="B15" s="606"/>
      <c r="C15" s="606"/>
      <c r="D15" s="606"/>
      <c r="E15" s="606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132</v>
      </c>
      <c r="D17" s="9"/>
      <c r="E17" s="53"/>
    </row>
    <row r="18" spans="1:5" ht="16.5" customHeight="1" x14ac:dyDescent="0.3">
      <c r="A18" s="55" t="s">
        <v>4</v>
      </c>
      <c r="B18" s="8" t="s">
        <v>135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14.87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70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12442152</v>
      </c>
      <c r="C24" s="18">
        <v>90736.6</v>
      </c>
      <c r="D24" s="19">
        <v>1.1000000000000001</v>
      </c>
      <c r="E24" s="20">
        <v>15.2</v>
      </c>
    </row>
    <row r="25" spans="1:5" ht="16.5" customHeight="1" x14ac:dyDescent="0.3">
      <c r="A25" s="17">
        <v>2</v>
      </c>
      <c r="B25" s="18">
        <v>12379815</v>
      </c>
      <c r="C25" s="18">
        <v>93373.4</v>
      </c>
      <c r="D25" s="19">
        <v>1.1000000000000001</v>
      </c>
      <c r="E25" s="19">
        <v>15.2</v>
      </c>
    </row>
    <row r="26" spans="1:5" ht="16.5" customHeight="1" x14ac:dyDescent="0.3">
      <c r="A26" s="17">
        <v>3</v>
      </c>
      <c r="B26" s="18">
        <v>12451258</v>
      </c>
      <c r="C26" s="18">
        <v>97018.8</v>
      </c>
      <c r="D26" s="19">
        <v>1.1000000000000001</v>
      </c>
      <c r="E26" s="19">
        <v>15.2</v>
      </c>
    </row>
    <row r="27" spans="1:5" ht="16.5" customHeight="1" x14ac:dyDescent="0.3">
      <c r="A27" s="17">
        <v>4</v>
      </c>
      <c r="B27" s="18">
        <v>12295118</v>
      </c>
      <c r="C27" s="18">
        <v>100841.1</v>
      </c>
      <c r="D27" s="19">
        <v>1.1200000000000001</v>
      </c>
      <c r="E27" s="19">
        <v>15.2</v>
      </c>
    </row>
    <row r="28" spans="1:5" ht="16.5" customHeight="1" x14ac:dyDescent="0.3">
      <c r="A28" s="17">
        <v>5</v>
      </c>
      <c r="B28" s="18">
        <v>12315855</v>
      </c>
      <c r="C28" s="18">
        <v>101787.4</v>
      </c>
      <c r="D28" s="19">
        <v>1.1000000000000001</v>
      </c>
      <c r="E28" s="19">
        <v>15.2</v>
      </c>
    </row>
    <row r="29" spans="1:5" ht="16.5" customHeight="1" x14ac:dyDescent="0.3">
      <c r="A29" s="17">
        <v>6</v>
      </c>
      <c r="B29" s="21">
        <v>12345851</v>
      </c>
      <c r="C29" s="21">
        <v>100245</v>
      </c>
      <c r="D29" s="22">
        <v>1.1000000000000001</v>
      </c>
      <c r="E29" s="22">
        <v>15.2</v>
      </c>
    </row>
    <row r="30" spans="1:5" ht="16.5" customHeight="1" x14ac:dyDescent="0.3">
      <c r="A30" s="23" t="s">
        <v>15</v>
      </c>
      <c r="B30" s="24">
        <f>AVERAGE(B24:B29)</f>
        <v>12371674.833333334</v>
      </c>
      <c r="C30" s="25">
        <f>AVERAGE(C24:C29)</f>
        <v>97333.716666666674</v>
      </c>
      <c r="D30" s="26">
        <f>AVERAGE(D24:D29)</f>
        <v>1.1033333333333333</v>
      </c>
      <c r="E30" s="26">
        <f>AVERAGE(E24:E29)</f>
        <v>15.200000000000001</v>
      </c>
    </row>
    <row r="31" spans="1:5" ht="16.5" customHeight="1" x14ac:dyDescent="0.3">
      <c r="A31" s="27" t="s">
        <v>16</v>
      </c>
      <c r="B31" s="28">
        <f>(STDEV(B24:B29)/B30)</f>
        <v>5.2396725078055675E-3</v>
      </c>
      <c r="C31" s="29"/>
      <c r="D31" s="29"/>
      <c r="E31" s="30"/>
    </row>
    <row r="32" spans="1:5" s="551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51" customFormat="1" ht="15.75" customHeight="1" x14ac:dyDescent="0.25">
      <c r="A33" s="53"/>
      <c r="B33" s="53"/>
      <c r="C33" s="53"/>
      <c r="D33" s="53"/>
      <c r="E33" s="53"/>
    </row>
    <row r="34" spans="1:5" s="551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48">
        <v>60229549</v>
      </c>
      <c r="C45" s="648">
        <v>151627.20000000001</v>
      </c>
      <c r="D45" s="650">
        <v>1.1000000000000001</v>
      </c>
      <c r="E45" s="652">
        <v>15.4</v>
      </c>
    </row>
    <row r="46" spans="1:5" ht="16.5" customHeight="1" x14ac:dyDescent="0.3">
      <c r="A46" s="17">
        <v>2</v>
      </c>
      <c r="B46" s="648">
        <v>59735916</v>
      </c>
      <c r="C46" s="648">
        <v>152564.6</v>
      </c>
      <c r="D46" s="650">
        <v>1.1000000000000001</v>
      </c>
      <c r="E46" s="650">
        <v>15.4</v>
      </c>
    </row>
    <row r="47" spans="1:5" ht="16.5" customHeight="1" x14ac:dyDescent="0.3">
      <c r="A47" s="17">
        <v>3</v>
      </c>
      <c r="B47" s="648">
        <v>59683412</v>
      </c>
      <c r="C47" s="648">
        <v>151971.29999999999</v>
      </c>
      <c r="D47" s="650">
        <v>1.1000000000000001</v>
      </c>
      <c r="E47" s="650">
        <v>15.4</v>
      </c>
    </row>
    <row r="48" spans="1:5" ht="16.5" customHeight="1" x14ac:dyDescent="0.3">
      <c r="A48" s="17">
        <v>4</v>
      </c>
      <c r="B48" s="648">
        <v>60364519</v>
      </c>
      <c r="C48" s="648">
        <v>152966.79999999999</v>
      </c>
      <c r="D48" s="650">
        <v>1.1000000000000001</v>
      </c>
      <c r="E48" s="650">
        <v>15.4</v>
      </c>
    </row>
    <row r="49" spans="1:7" ht="16.5" customHeight="1" x14ac:dyDescent="0.3">
      <c r="A49" s="17">
        <v>5</v>
      </c>
      <c r="B49" s="648">
        <v>59843734</v>
      </c>
      <c r="C49" s="648">
        <v>152882.29999999999</v>
      </c>
      <c r="D49" s="650">
        <v>1.1000000000000001</v>
      </c>
      <c r="E49" s="650">
        <v>15.4</v>
      </c>
    </row>
    <row r="50" spans="1:7" ht="16.5" customHeight="1" x14ac:dyDescent="0.3">
      <c r="A50" s="17">
        <v>6</v>
      </c>
      <c r="B50" s="649">
        <v>60643377</v>
      </c>
      <c r="C50" s="649">
        <v>152018.4</v>
      </c>
      <c r="D50" s="651">
        <v>1.1000000000000001</v>
      </c>
      <c r="E50" s="651">
        <v>15.4</v>
      </c>
    </row>
    <row r="51" spans="1:7" ht="16.5" customHeight="1" x14ac:dyDescent="0.3">
      <c r="A51" s="23" t="s">
        <v>15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16</v>
      </c>
      <c r="B52" s="28">
        <f>(STDEV(B45:B50)/B51)</f>
        <v>6.4551871839107367E-3</v>
      </c>
      <c r="C52" s="29"/>
      <c r="D52" s="29"/>
      <c r="E52" s="30"/>
    </row>
    <row r="53" spans="1:7" s="551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51" customFormat="1" ht="15.75" customHeight="1" x14ac:dyDescent="0.25">
      <c r="A54" s="53"/>
      <c r="B54" s="53"/>
      <c r="C54" s="53"/>
      <c r="D54" s="53"/>
      <c r="E54" s="53"/>
    </row>
    <row r="55" spans="1:7" s="551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4"/>
      <c r="D58" s="43"/>
      <c r="F58" s="44"/>
      <c r="G58" s="44"/>
    </row>
    <row r="59" spans="1:7" ht="15" customHeight="1" x14ac:dyDescent="0.3">
      <c r="B59" s="607" t="s">
        <v>23</v>
      </c>
      <c r="C59" s="607"/>
      <c r="E59" s="605" t="s">
        <v>24</v>
      </c>
      <c r="F59" s="46"/>
      <c r="G59" s="605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51" customWidth="1"/>
    <col min="2" max="2" width="20.42578125" style="551" customWidth="1"/>
    <col min="3" max="3" width="31.85546875" style="551" customWidth="1"/>
    <col min="4" max="4" width="25.85546875" style="551" customWidth="1"/>
    <col min="5" max="5" width="25.7109375" style="551" customWidth="1"/>
    <col min="6" max="6" width="23.140625" style="551" customWidth="1"/>
    <col min="7" max="7" width="28.42578125" style="551" customWidth="1"/>
    <col min="8" max="8" width="21.5703125" style="551" customWidth="1"/>
    <col min="9" max="9" width="9.140625" style="55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06" t="s">
        <v>0</v>
      </c>
      <c r="B15" s="606"/>
      <c r="C15" s="606"/>
      <c r="D15" s="606"/>
      <c r="E15" s="606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132</v>
      </c>
      <c r="D17" s="9"/>
      <c r="E17" s="53"/>
    </row>
    <row r="18" spans="1:5" ht="16.5" customHeight="1" x14ac:dyDescent="0.3">
      <c r="A18" s="55" t="s">
        <v>4</v>
      </c>
      <c r="B18" s="8" t="s">
        <v>136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29.47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70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45193175</v>
      </c>
      <c r="C24" s="18">
        <v>85752.1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44983986</v>
      </c>
      <c r="C25" s="18">
        <v>87590.5</v>
      </c>
      <c r="D25" s="19">
        <v>1.1000000000000001</v>
      </c>
      <c r="E25" s="19">
        <v>21.9</v>
      </c>
    </row>
    <row r="26" spans="1:5" ht="16.5" customHeight="1" x14ac:dyDescent="0.3">
      <c r="A26" s="17">
        <v>3</v>
      </c>
      <c r="B26" s="18">
        <v>45268817</v>
      </c>
      <c r="C26" s="18">
        <v>91624.6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44802737</v>
      </c>
      <c r="C27" s="18">
        <v>93608.6</v>
      </c>
      <c r="D27" s="19">
        <v>1.1200000000000001</v>
      </c>
      <c r="E27" s="19">
        <v>22</v>
      </c>
    </row>
    <row r="28" spans="1:5" ht="16.5" customHeight="1" x14ac:dyDescent="0.3">
      <c r="A28" s="17">
        <v>5</v>
      </c>
      <c r="B28" s="18">
        <v>44804982</v>
      </c>
      <c r="C28" s="18">
        <v>95694.2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44923996</v>
      </c>
      <c r="C29" s="21">
        <v>94088.8</v>
      </c>
      <c r="D29" s="22">
        <v>1.1000000000000001</v>
      </c>
      <c r="E29" s="22">
        <v>21.9</v>
      </c>
    </row>
    <row r="30" spans="1:5" ht="16.5" customHeight="1" x14ac:dyDescent="0.3">
      <c r="A30" s="23" t="s">
        <v>15</v>
      </c>
      <c r="B30" s="24">
        <f>AVERAGE(B24:B29)</f>
        <v>44996282.166666664</v>
      </c>
      <c r="C30" s="25">
        <f>AVERAGE(C24:C29)</f>
        <v>91393.133333333346</v>
      </c>
      <c r="D30" s="26">
        <f>AVERAGE(D24:D29)</f>
        <v>1.1033333333333333</v>
      </c>
      <c r="E30" s="26">
        <f>AVERAGE(E24:E29)</f>
        <v>21.916666666666668</v>
      </c>
    </row>
    <row r="31" spans="1:5" ht="16.5" customHeight="1" x14ac:dyDescent="0.3">
      <c r="A31" s="27" t="s">
        <v>16</v>
      </c>
      <c r="B31" s="28">
        <f>(STDEV(B24:B29)/B30)</f>
        <v>4.3603805687927209E-3</v>
      </c>
      <c r="C31" s="29"/>
      <c r="D31" s="29"/>
      <c r="E31" s="30"/>
    </row>
    <row r="32" spans="1:5" s="551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51" customFormat="1" ht="15.75" customHeight="1" x14ac:dyDescent="0.25">
      <c r="A33" s="53"/>
      <c r="B33" s="53"/>
      <c r="C33" s="53"/>
      <c r="D33" s="53"/>
      <c r="E33" s="53"/>
    </row>
    <row r="34" spans="1:5" s="551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136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48">
        <v>207621354</v>
      </c>
      <c r="C45" s="648">
        <v>149452.29999999999</v>
      </c>
      <c r="D45" s="650">
        <v>1.1000000000000001</v>
      </c>
      <c r="E45" s="652">
        <v>21.9</v>
      </c>
    </row>
    <row r="46" spans="1:5" ht="16.5" customHeight="1" x14ac:dyDescent="0.3">
      <c r="A46" s="17">
        <v>2</v>
      </c>
      <c r="B46" s="648">
        <v>205863576</v>
      </c>
      <c r="C46" s="648">
        <v>149583</v>
      </c>
      <c r="D46" s="650">
        <v>1.1000000000000001</v>
      </c>
      <c r="E46" s="650">
        <v>21.9</v>
      </c>
    </row>
    <row r="47" spans="1:5" ht="16.5" customHeight="1" x14ac:dyDescent="0.3">
      <c r="A47" s="17">
        <v>3</v>
      </c>
      <c r="B47" s="648">
        <v>205902926</v>
      </c>
      <c r="C47" s="648">
        <v>150778</v>
      </c>
      <c r="D47" s="650">
        <v>1</v>
      </c>
      <c r="E47" s="650">
        <v>21.9</v>
      </c>
    </row>
    <row r="48" spans="1:5" ht="16.5" customHeight="1" x14ac:dyDescent="0.3">
      <c r="A48" s="17">
        <v>4</v>
      </c>
      <c r="B48" s="648">
        <v>205200410</v>
      </c>
      <c r="C48" s="648">
        <v>149223.5</v>
      </c>
      <c r="D48" s="650">
        <v>1</v>
      </c>
      <c r="E48" s="650">
        <v>21.9</v>
      </c>
    </row>
    <row r="49" spans="1:7" ht="16.5" customHeight="1" x14ac:dyDescent="0.3">
      <c r="A49" s="17">
        <v>5</v>
      </c>
      <c r="B49" s="648">
        <v>205335426</v>
      </c>
      <c r="C49" s="648">
        <v>149261.79999999999</v>
      </c>
      <c r="D49" s="650">
        <v>1.1000000000000001</v>
      </c>
      <c r="E49" s="650">
        <v>21.9</v>
      </c>
    </row>
    <row r="50" spans="1:7" ht="16.5" customHeight="1" x14ac:dyDescent="0.3">
      <c r="A50" s="17">
        <v>6</v>
      </c>
      <c r="B50" s="649">
        <v>205123804</v>
      </c>
      <c r="C50" s="649">
        <v>148688</v>
      </c>
      <c r="D50" s="651">
        <v>1.1000000000000001</v>
      </c>
      <c r="E50" s="651">
        <v>21.9</v>
      </c>
    </row>
    <row r="51" spans="1:7" ht="16.5" customHeight="1" x14ac:dyDescent="0.3">
      <c r="A51" s="23" t="s">
        <v>15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16</v>
      </c>
      <c r="B52" s="28">
        <f>(STDEV(B45:B50)/B51)</f>
        <v>4.5336033311896215E-3</v>
      </c>
      <c r="C52" s="29"/>
      <c r="D52" s="29"/>
      <c r="E52" s="30"/>
    </row>
    <row r="53" spans="1:7" s="551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51" customFormat="1" ht="15.75" customHeight="1" x14ac:dyDescent="0.25">
      <c r="A54" s="53"/>
      <c r="B54" s="53"/>
      <c r="C54" s="53"/>
      <c r="D54" s="53"/>
      <c r="E54" s="53"/>
    </row>
    <row r="55" spans="1:7" s="551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4"/>
      <c r="D58" s="43"/>
      <c r="F58" s="44"/>
      <c r="G58" s="44"/>
    </row>
    <row r="59" spans="1:7" ht="15" customHeight="1" x14ac:dyDescent="0.3">
      <c r="B59" s="607" t="s">
        <v>23</v>
      </c>
      <c r="C59" s="607"/>
      <c r="E59" s="605" t="s">
        <v>24</v>
      </c>
      <c r="F59" s="46"/>
      <c r="G59" s="605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57" customWidth="1"/>
    <col min="2" max="2" width="18.42578125" style="657" customWidth="1"/>
    <col min="3" max="3" width="14.28515625" style="657" customWidth="1"/>
    <col min="4" max="4" width="15" style="657" customWidth="1"/>
    <col min="5" max="5" width="9.140625" style="657" customWidth="1"/>
    <col min="6" max="6" width="27.85546875" style="657" customWidth="1"/>
    <col min="7" max="7" width="12.28515625" style="657" customWidth="1"/>
    <col min="8" max="8" width="9.140625" style="657" customWidth="1"/>
    <col min="9" max="16384" width="9.140625" style="708"/>
  </cols>
  <sheetData>
    <row r="10" spans="1:7" ht="13.5" customHeight="1" thickBot="1" x14ac:dyDescent="0.35"/>
    <row r="11" spans="1:7" ht="13.5" customHeight="1" thickBot="1" x14ac:dyDescent="0.35">
      <c r="A11" s="658" t="s">
        <v>28</v>
      </c>
      <c r="B11" s="659"/>
      <c r="C11" s="659"/>
      <c r="D11" s="659"/>
      <c r="E11" s="659"/>
      <c r="F11" s="660"/>
      <c r="G11" s="661"/>
    </row>
    <row r="12" spans="1:7" ht="16.5" customHeight="1" x14ac:dyDescent="0.3">
      <c r="A12" s="662" t="s">
        <v>29</v>
      </c>
      <c r="B12" s="662"/>
      <c r="C12" s="662"/>
      <c r="D12" s="662"/>
      <c r="E12" s="662"/>
      <c r="F12" s="662"/>
      <c r="G12" s="663"/>
    </row>
    <row r="14" spans="1:7" ht="16.5" customHeight="1" x14ac:dyDescent="0.3">
      <c r="A14" s="664" t="s">
        <v>30</v>
      </c>
      <c r="B14" s="664"/>
      <c r="C14" s="665" t="s">
        <v>130</v>
      </c>
    </row>
    <row r="15" spans="1:7" ht="16.5" customHeight="1" x14ac:dyDescent="0.3">
      <c r="A15" s="664" t="s">
        <v>31</v>
      </c>
      <c r="B15" s="664"/>
      <c r="C15" s="665" t="s">
        <v>132</v>
      </c>
    </row>
    <row r="16" spans="1:7" ht="16.5" customHeight="1" x14ac:dyDescent="0.3">
      <c r="A16" s="664" t="s">
        <v>32</v>
      </c>
      <c r="B16" s="664"/>
      <c r="C16" s="665" t="s">
        <v>8</v>
      </c>
    </row>
    <row r="17" spans="1:5" ht="16.5" customHeight="1" x14ac:dyDescent="0.3">
      <c r="A17" s="664" t="s">
        <v>33</v>
      </c>
      <c r="B17" s="664"/>
      <c r="C17" s="665" t="s">
        <v>131</v>
      </c>
    </row>
    <row r="18" spans="1:5" ht="16.5" customHeight="1" x14ac:dyDescent="0.3">
      <c r="A18" s="664" t="s">
        <v>34</v>
      </c>
      <c r="B18" s="664"/>
      <c r="C18" s="666" t="s">
        <v>133</v>
      </c>
    </row>
    <row r="19" spans="1:5" ht="16.5" customHeight="1" x14ac:dyDescent="0.3">
      <c r="A19" s="664" t="s">
        <v>35</v>
      </c>
      <c r="B19" s="664"/>
      <c r="C19" s="666" t="e">
        <f>#REF!</f>
        <v>#REF!</v>
      </c>
    </row>
    <row r="20" spans="1:5" ht="16.5" customHeight="1" x14ac:dyDescent="0.3">
      <c r="A20" s="667"/>
      <c r="B20" s="667"/>
      <c r="C20" s="668"/>
    </row>
    <row r="21" spans="1:5" ht="16.5" customHeight="1" x14ac:dyDescent="0.3">
      <c r="A21" s="662" t="s">
        <v>1</v>
      </c>
      <c r="B21" s="662"/>
      <c r="C21" s="669" t="s">
        <v>36</v>
      </c>
      <c r="D21" s="670"/>
    </row>
    <row r="22" spans="1:5" ht="15.75" customHeight="1" thickBot="1" x14ac:dyDescent="0.35">
      <c r="A22" s="671"/>
      <c r="B22" s="671"/>
      <c r="C22" s="672"/>
      <c r="D22" s="671"/>
      <c r="E22" s="671"/>
    </row>
    <row r="23" spans="1:5" ht="33.75" customHeight="1" thickBot="1" x14ac:dyDescent="0.35">
      <c r="C23" s="673" t="s">
        <v>37</v>
      </c>
      <c r="D23" s="674" t="s">
        <v>38</v>
      </c>
      <c r="E23" s="675"/>
    </row>
    <row r="24" spans="1:5" ht="15.75" customHeight="1" x14ac:dyDescent="0.3">
      <c r="C24" s="676">
        <v>1889.4</v>
      </c>
      <c r="D24" s="677">
        <f t="shared" ref="D24:D43" si="0">(C24-$C$46)/$C$46</f>
        <v>-7.7913116359234333E-3</v>
      </c>
      <c r="E24" s="678"/>
    </row>
    <row r="25" spans="1:5" ht="15.75" customHeight="1" x14ac:dyDescent="0.3">
      <c r="C25" s="676">
        <v>1930.65</v>
      </c>
      <c r="D25" s="679">
        <f t="shared" si="0"/>
        <v>1.387091361813508E-2</v>
      </c>
      <c r="E25" s="678"/>
    </row>
    <row r="26" spans="1:5" ht="15.75" customHeight="1" x14ac:dyDescent="0.3">
      <c r="C26" s="676">
        <v>1906.63</v>
      </c>
      <c r="D26" s="679">
        <f t="shared" si="0"/>
        <v>1.256934209589987E-3</v>
      </c>
      <c r="E26" s="678"/>
    </row>
    <row r="27" spans="1:5" ht="15.75" customHeight="1" x14ac:dyDescent="0.3">
      <c r="C27" s="676">
        <v>1914.84</v>
      </c>
      <c r="D27" s="679">
        <f t="shared" si="0"/>
        <v>5.5683734662158356E-3</v>
      </c>
      <c r="E27" s="678"/>
    </row>
    <row r="28" spans="1:5" ht="15.75" customHeight="1" x14ac:dyDescent="0.3">
      <c r="C28" s="676">
        <v>1894.57</v>
      </c>
      <c r="D28" s="679">
        <f t="shared" si="0"/>
        <v>-5.0763127374148474E-3</v>
      </c>
      <c r="E28" s="678"/>
    </row>
    <row r="29" spans="1:5" ht="15.75" customHeight="1" x14ac:dyDescent="0.3">
      <c r="C29" s="676">
        <v>1914.04</v>
      </c>
      <c r="D29" s="679">
        <f t="shared" si="0"/>
        <v>5.1482575825007853E-3</v>
      </c>
      <c r="E29" s="678"/>
    </row>
    <row r="30" spans="1:5" ht="15.75" customHeight="1" x14ac:dyDescent="0.3">
      <c r="C30" s="676">
        <v>1902.3</v>
      </c>
      <c r="D30" s="679">
        <f t="shared" si="0"/>
        <v>-1.0169430110179333E-3</v>
      </c>
      <c r="E30" s="678"/>
    </row>
    <row r="31" spans="1:5" ht="15.75" customHeight="1" x14ac:dyDescent="0.3">
      <c r="C31" s="676">
        <v>1917.73</v>
      </c>
      <c r="D31" s="679">
        <f t="shared" si="0"/>
        <v>7.0860420961365942E-3</v>
      </c>
      <c r="E31" s="678"/>
    </row>
    <row r="32" spans="1:5" ht="15.75" customHeight="1" x14ac:dyDescent="0.3">
      <c r="C32" s="676">
        <v>1892.74</v>
      </c>
      <c r="D32" s="679">
        <f t="shared" si="0"/>
        <v>-6.0373278214130412E-3</v>
      </c>
      <c r="E32" s="678"/>
    </row>
    <row r="33" spans="1:7" ht="15.75" customHeight="1" x14ac:dyDescent="0.3">
      <c r="C33" s="676">
        <v>1910.34</v>
      </c>
      <c r="D33" s="679">
        <f t="shared" si="0"/>
        <v>3.2052216203185433E-3</v>
      </c>
      <c r="E33" s="678"/>
    </row>
    <row r="34" spans="1:7" ht="15.75" customHeight="1" x14ac:dyDescent="0.3">
      <c r="C34" s="676">
        <v>1868.74</v>
      </c>
      <c r="D34" s="679">
        <f t="shared" si="0"/>
        <v>-1.8640804332865267E-2</v>
      </c>
      <c r="E34" s="678"/>
    </row>
    <row r="35" spans="1:7" ht="15.75" customHeight="1" x14ac:dyDescent="0.3">
      <c r="C35" s="676">
        <v>1929.95</v>
      </c>
      <c r="D35" s="679">
        <f t="shared" si="0"/>
        <v>1.3503312219884368E-2</v>
      </c>
      <c r="E35" s="678"/>
    </row>
    <row r="36" spans="1:7" ht="15.75" customHeight="1" x14ac:dyDescent="0.3">
      <c r="C36" s="676">
        <v>1924.76</v>
      </c>
      <c r="D36" s="679">
        <f t="shared" si="0"/>
        <v>1.0777810424282793E-2</v>
      </c>
      <c r="E36" s="678"/>
    </row>
    <row r="37" spans="1:7" ht="15.75" customHeight="1" x14ac:dyDescent="0.3">
      <c r="C37" s="676">
        <v>1890.45</v>
      </c>
      <c r="D37" s="679">
        <f t="shared" si="0"/>
        <v>-7.239909538547422E-3</v>
      </c>
      <c r="E37" s="678"/>
    </row>
    <row r="38" spans="1:7" ht="15.75" customHeight="1" x14ac:dyDescent="0.3">
      <c r="C38" s="676">
        <v>1910.46</v>
      </c>
      <c r="D38" s="679">
        <f t="shared" si="0"/>
        <v>3.2682390028758667E-3</v>
      </c>
      <c r="E38" s="678"/>
    </row>
    <row r="39" spans="1:7" ht="15.75" customHeight="1" x14ac:dyDescent="0.3">
      <c r="C39" s="676">
        <v>1898.9</v>
      </c>
      <c r="D39" s="679">
        <f t="shared" si="0"/>
        <v>-2.8024355168069269E-3</v>
      </c>
      <c r="E39" s="678"/>
    </row>
    <row r="40" spans="1:7" ht="15.75" customHeight="1" x14ac:dyDescent="0.3">
      <c r="C40" s="676">
        <v>1897.1</v>
      </c>
      <c r="D40" s="679">
        <f t="shared" si="0"/>
        <v>-3.7476962551659396E-3</v>
      </c>
      <c r="E40" s="678"/>
    </row>
    <row r="41" spans="1:7" ht="15.75" customHeight="1" x14ac:dyDescent="0.3">
      <c r="C41" s="676">
        <v>1871.13</v>
      </c>
      <c r="D41" s="679">
        <f t="shared" si="0"/>
        <v>-1.7385708130266433E-2</v>
      </c>
      <c r="E41" s="678"/>
    </row>
    <row r="42" spans="1:7" ht="15.75" customHeight="1" x14ac:dyDescent="0.3">
      <c r="C42" s="676">
        <v>1935.61</v>
      </c>
      <c r="D42" s="679">
        <f t="shared" si="0"/>
        <v>1.647563209716844E-2</v>
      </c>
      <c r="E42" s="678"/>
    </row>
    <row r="43" spans="1:7" ht="16.5" customHeight="1" thickBot="1" x14ac:dyDescent="0.35">
      <c r="C43" s="680">
        <v>1884.39</v>
      </c>
      <c r="D43" s="681">
        <f t="shared" si="0"/>
        <v>-1.042228735768908E-2</v>
      </c>
      <c r="E43" s="678"/>
    </row>
    <row r="44" spans="1:7" ht="16.5" customHeight="1" thickBot="1" x14ac:dyDescent="0.35">
      <c r="C44" s="682"/>
      <c r="D44" s="678"/>
      <c r="E44" s="683"/>
    </row>
    <row r="45" spans="1:7" ht="16.5" customHeight="1" thickBot="1" x14ac:dyDescent="0.35">
      <c r="B45" s="684" t="s">
        <v>39</v>
      </c>
      <c r="C45" s="685">
        <f>SUM(C24:C44)</f>
        <v>38084.730000000003</v>
      </c>
      <c r="D45" s="686"/>
      <c r="E45" s="682"/>
    </row>
    <row r="46" spans="1:7" ht="17.25" customHeight="1" thickBot="1" x14ac:dyDescent="0.35">
      <c r="B46" s="684" t="s">
        <v>40</v>
      </c>
      <c r="C46" s="687">
        <f>AVERAGE(C24:C44)</f>
        <v>1904.2365000000002</v>
      </c>
      <c r="E46" s="688"/>
    </row>
    <row r="47" spans="1:7" ht="17.25" customHeight="1" thickBot="1" x14ac:dyDescent="0.35">
      <c r="A47" s="665"/>
      <c r="B47" s="689"/>
      <c r="D47" s="690"/>
      <c r="E47" s="688"/>
    </row>
    <row r="48" spans="1:7" ht="33.75" customHeight="1" thickBot="1" x14ac:dyDescent="0.35">
      <c r="B48" s="691" t="s">
        <v>40</v>
      </c>
      <c r="C48" s="674" t="s">
        <v>41</v>
      </c>
      <c r="D48" s="692"/>
      <c r="G48" s="690"/>
    </row>
    <row r="49" spans="1:6" ht="17.25" customHeight="1" thickBot="1" x14ac:dyDescent="0.35">
      <c r="B49" s="693">
        <f>C46</f>
        <v>1904.2365000000002</v>
      </c>
      <c r="C49" s="694">
        <f>-IF(C46&lt;=80,10%,IF(C46&lt;250,7.5%,5%))</f>
        <v>-0.05</v>
      </c>
      <c r="D49" s="695">
        <f>IF(C46&lt;=80,C46*0.9,IF(C46&lt;250,C46*0.925,C46*0.95))</f>
        <v>1809.0246750000001</v>
      </c>
    </row>
    <row r="50" spans="1:6" ht="17.25" customHeight="1" thickBot="1" x14ac:dyDescent="0.35">
      <c r="B50" s="696"/>
      <c r="C50" s="697">
        <f>IF(C46&lt;=80, 10%, IF(C46&lt;250, 7.5%, 5%))</f>
        <v>0.05</v>
      </c>
      <c r="D50" s="695">
        <f>IF(C46&lt;=80, C46*1.1, IF(C46&lt;250, C46*1.075, C46*1.05))</f>
        <v>1999.4483250000003</v>
      </c>
    </row>
    <row r="51" spans="1:6" ht="16.5" customHeight="1" thickBot="1" x14ac:dyDescent="0.35">
      <c r="A51" s="698"/>
      <c r="B51" s="699"/>
      <c r="C51" s="665"/>
      <c r="D51" s="700"/>
      <c r="E51" s="665"/>
      <c r="F51" s="670"/>
    </row>
    <row r="52" spans="1:6" ht="16.5" customHeight="1" x14ac:dyDescent="0.3">
      <c r="A52" s="665"/>
      <c r="B52" s="701" t="s">
        <v>23</v>
      </c>
      <c r="C52" s="701"/>
      <c r="D52" s="702" t="s">
        <v>24</v>
      </c>
      <c r="E52" s="703"/>
      <c r="F52" s="702" t="s">
        <v>25</v>
      </c>
    </row>
    <row r="53" spans="1:6" ht="34.5" customHeight="1" x14ac:dyDescent="0.3">
      <c r="A53" s="667" t="s">
        <v>26</v>
      </c>
      <c r="B53" s="704"/>
      <c r="C53" s="665"/>
      <c r="D53" s="704"/>
      <c r="E53" s="665"/>
      <c r="F53" s="704"/>
    </row>
    <row r="54" spans="1:6" ht="34.5" customHeight="1" x14ac:dyDescent="0.3">
      <c r="A54" s="667" t="s">
        <v>27</v>
      </c>
      <c r="B54" s="705"/>
      <c r="C54" s="706"/>
      <c r="D54" s="705"/>
      <c r="E54" s="665"/>
      <c r="F54" s="707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6" t="s">
        <v>42</v>
      </c>
      <c r="B1" s="636"/>
      <c r="C1" s="636"/>
      <c r="D1" s="636"/>
      <c r="E1" s="636"/>
      <c r="F1" s="636"/>
      <c r="G1" s="636"/>
      <c r="H1" s="636"/>
      <c r="I1" s="636"/>
    </row>
    <row r="2" spans="1:9" ht="18.7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</row>
    <row r="3" spans="1:9" ht="18.75" customHeight="1" x14ac:dyDescent="0.25">
      <c r="A3" s="636"/>
      <c r="B3" s="636"/>
      <c r="C3" s="636"/>
      <c r="D3" s="636"/>
      <c r="E3" s="636"/>
      <c r="F3" s="636"/>
      <c r="G3" s="636"/>
      <c r="H3" s="636"/>
      <c r="I3" s="636"/>
    </row>
    <row r="4" spans="1:9" ht="18.75" customHeight="1" x14ac:dyDescent="0.25">
      <c r="A4" s="636"/>
      <c r="B4" s="636"/>
      <c r="C4" s="636"/>
      <c r="D4" s="636"/>
      <c r="E4" s="636"/>
      <c r="F4" s="636"/>
      <c r="G4" s="636"/>
      <c r="H4" s="636"/>
      <c r="I4" s="636"/>
    </row>
    <row r="5" spans="1:9" ht="18.75" customHeight="1" x14ac:dyDescent="0.25">
      <c r="A5" s="636"/>
      <c r="B5" s="636"/>
      <c r="C5" s="636"/>
      <c r="D5" s="636"/>
      <c r="E5" s="636"/>
      <c r="F5" s="636"/>
      <c r="G5" s="636"/>
      <c r="H5" s="636"/>
      <c r="I5" s="636"/>
    </row>
    <row r="6" spans="1:9" ht="18.75" customHeight="1" x14ac:dyDescent="0.25">
      <c r="A6" s="636"/>
      <c r="B6" s="636"/>
      <c r="C6" s="636"/>
      <c r="D6" s="636"/>
      <c r="E6" s="636"/>
      <c r="F6" s="636"/>
      <c r="G6" s="636"/>
      <c r="H6" s="636"/>
      <c r="I6" s="636"/>
    </row>
    <row r="7" spans="1:9" ht="18.75" customHeight="1" x14ac:dyDescent="0.25">
      <c r="A7" s="636"/>
      <c r="B7" s="636"/>
      <c r="C7" s="636"/>
      <c r="D7" s="636"/>
      <c r="E7" s="636"/>
      <c r="F7" s="636"/>
      <c r="G7" s="636"/>
      <c r="H7" s="636"/>
      <c r="I7" s="636"/>
    </row>
    <row r="8" spans="1:9" x14ac:dyDescent="0.25">
      <c r="A8" s="637" t="s">
        <v>43</v>
      </c>
      <c r="B8" s="637"/>
      <c r="C8" s="637"/>
      <c r="D8" s="637"/>
      <c r="E8" s="637"/>
      <c r="F8" s="637"/>
      <c r="G8" s="637"/>
      <c r="H8" s="637"/>
      <c r="I8" s="637"/>
    </row>
    <row r="9" spans="1:9" x14ac:dyDescent="0.25">
      <c r="A9" s="637"/>
      <c r="B9" s="637"/>
      <c r="C9" s="637"/>
      <c r="D9" s="637"/>
      <c r="E9" s="637"/>
      <c r="F9" s="637"/>
      <c r="G9" s="637"/>
      <c r="H9" s="637"/>
      <c r="I9" s="637"/>
    </row>
    <row r="10" spans="1:9" x14ac:dyDescent="0.25">
      <c r="A10" s="637"/>
      <c r="B10" s="637"/>
      <c r="C10" s="637"/>
      <c r="D10" s="637"/>
      <c r="E10" s="637"/>
      <c r="F10" s="637"/>
      <c r="G10" s="637"/>
      <c r="H10" s="637"/>
      <c r="I10" s="637"/>
    </row>
    <row r="11" spans="1:9" x14ac:dyDescent="0.25">
      <c r="A11" s="637"/>
      <c r="B11" s="637"/>
      <c r="C11" s="637"/>
      <c r="D11" s="637"/>
      <c r="E11" s="637"/>
      <c r="F11" s="637"/>
      <c r="G11" s="637"/>
      <c r="H11" s="637"/>
      <c r="I11" s="637"/>
    </row>
    <row r="12" spans="1:9" x14ac:dyDescent="0.25">
      <c r="A12" s="637"/>
      <c r="B12" s="637"/>
      <c r="C12" s="637"/>
      <c r="D12" s="637"/>
      <c r="E12" s="637"/>
      <c r="F12" s="637"/>
      <c r="G12" s="637"/>
      <c r="H12" s="637"/>
      <c r="I12" s="637"/>
    </row>
    <row r="13" spans="1:9" x14ac:dyDescent="0.25">
      <c r="A13" s="637"/>
      <c r="B13" s="637"/>
      <c r="C13" s="637"/>
      <c r="D13" s="637"/>
      <c r="E13" s="637"/>
      <c r="F13" s="637"/>
      <c r="G13" s="637"/>
      <c r="H13" s="637"/>
      <c r="I13" s="637"/>
    </row>
    <row r="14" spans="1:9" x14ac:dyDescent="0.25">
      <c r="A14" s="637"/>
      <c r="B14" s="637"/>
      <c r="C14" s="637"/>
      <c r="D14" s="637"/>
      <c r="E14" s="637"/>
      <c r="F14" s="637"/>
      <c r="G14" s="637"/>
      <c r="H14" s="637"/>
      <c r="I14" s="637"/>
    </row>
    <row r="15" spans="1:9" ht="19.5" customHeight="1" x14ac:dyDescent="0.3">
      <c r="A15" s="57"/>
    </row>
    <row r="16" spans="1:9" ht="19.5" customHeight="1" x14ac:dyDescent="0.3">
      <c r="A16" s="609" t="s">
        <v>28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44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59" t="s">
        <v>30</v>
      </c>
      <c r="B18" s="608" t="s">
        <v>5</v>
      </c>
      <c r="C18" s="608"/>
      <c r="D18" s="226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132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647" t="s">
        <v>123</v>
      </c>
      <c r="C20" s="647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647" t="s">
        <v>122</v>
      </c>
      <c r="C21" s="647"/>
      <c r="D21" s="647"/>
      <c r="E21" s="647"/>
      <c r="F21" s="647"/>
      <c r="G21" s="647"/>
      <c r="H21" s="647"/>
      <c r="I21" s="63"/>
    </row>
    <row r="22" spans="1:14" ht="26.25" customHeight="1" x14ac:dyDescent="0.4">
      <c r="A22" s="59" t="s">
        <v>34</v>
      </c>
      <c r="B22" s="64">
        <v>42503.536458333336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429">
        <v>42510.536458333336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608" t="s">
        <v>124</v>
      </c>
      <c r="C26" s="608"/>
    </row>
    <row r="27" spans="1:14" ht="26.25" customHeight="1" x14ac:dyDescent="0.4">
      <c r="A27" s="68" t="s">
        <v>45</v>
      </c>
      <c r="B27" s="614" t="s">
        <v>125</v>
      </c>
      <c r="C27" s="614"/>
    </row>
    <row r="28" spans="1:14" ht="27" customHeight="1" x14ac:dyDescent="0.4">
      <c r="A28" s="68" t="s">
        <v>6</v>
      </c>
      <c r="B28" s="69">
        <v>101.74</v>
      </c>
    </row>
    <row r="29" spans="1:14" s="14" customFormat="1" ht="27" customHeight="1" x14ac:dyDescent="0.4">
      <c r="A29" s="68" t="s">
        <v>46</v>
      </c>
      <c r="B29" s="70">
        <v>0</v>
      </c>
      <c r="C29" s="615" t="s">
        <v>47</v>
      </c>
      <c r="D29" s="616"/>
      <c r="E29" s="616"/>
      <c r="F29" s="616"/>
      <c r="G29" s="617"/>
      <c r="I29" s="71"/>
      <c r="J29" s="71"/>
      <c r="K29" s="71"/>
      <c r="L29" s="71"/>
    </row>
    <row r="30" spans="1:14" s="14" customFormat="1" ht="19.5" customHeight="1" x14ac:dyDescent="0.3">
      <c r="A30" s="68" t="s">
        <v>48</v>
      </c>
      <c r="B30" s="72">
        <f>B28-B29</f>
        <v>101.74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49</v>
      </c>
      <c r="B31" s="75">
        <v>1</v>
      </c>
      <c r="C31" s="618" t="s">
        <v>50</v>
      </c>
      <c r="D31" s="619"/>
      <c r="E31" s="619"/>
      <c r="F31" s="619"/>
      <c r="G31" s="619"/>
      <c r="H31" s="620"/>
      <c r="I31" s="71"/>
      <c r="J31" s="71"/>
      <c r="K31" s="71"/>
      <c r="L31" s="71"/>
    </row>
    <row r="32" spans="1:14" s="14" customFormat="1" ht="27" customHeight="1" x14ac:dyDescent="0.4">
      <c r="A32" s="68" t="s">
        <v>51</v>
      </c>
      <c r="B32" s="75">
        <v>1</v>
      </c>
      <c r="C32" s="618" t="s">
        <v>52</v>
      </c>
      <c r="D32" s="619"/>
      <c r="E32" s="619"/>
      <c r="F32" s="619"/>
      <c r="G32" s="619"/>
      <c r="H32" s="620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53</v>
      </c>
      <c r="B34" s="80">
        <f>B31/B32</f>
        <v>1</v>
      </c>
      <c r="C34" s="58" t="s">
        <v>54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55</v>
      </c>
      <c r="B36" s="82">
        <v>25</v>
      </c>
      <c r="C36" s="58"/>
      <c r="D36" s="621" t="s">
        <v>56</v>
      </c>
      <c r="E36" s="622"/>
      <c r="F36" s="621" t="s">
        <v>57</v>
      </c>
      <c r="G36" s="623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58</v>
      </c>
      <c r="B37" s="84">
        <v>5</v>
      </c>
      <c r="C37" s="85" t="s">
        <v>59</v>
      </c>
      <c r="D37" s="86" t="s">
        <v>60</v>
      </c>
      <c r="E37" s="87" t="s">
        <v>61</v>
      </c>
      <c r="F37" s="86" t="s">
        <v>60</v>
      </c>
      <c r="G37" s="88" t="s">
        <v>61</v>
      </c>
      <c r="I37" s="89" t="s">
        <v>62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63</v>
      </c>
      <c r="B38" s="84">
        <v>50</v>
      </c>
      <c r="C38" s="90">
        <v>1</v>
      </c>
      <c r="D38" s="91">
        <v>16519004</v>
      </c>
      <c r="E38" s="92">
        <f>IF(ISBLANK(D38),"-",$D$48/$D$45*D38)</f>
        <v>16901272.473806564</v>
      </c>
      <c r="F38" s="91">
        <v>17931480</v>
      </c>
      <c r="G38" s="93">
        <f>IF(ISBLANK(F38),"-",$D$48/$F$45*F38)</f>
        <v>16849721.161540627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64</v>
      </c>
      <c r="B39" s="84">
        <v>1</v>
      </c>
      <c r="C39" s="95">
        <v>2</v>
      </c>
      <c r="D39" s="96">
        <v>16505062</v>
      </c>
      <c r="E39" s="97">
        <f>IF(ISBLANK(D39),"-",$D$48/$D$45*D39)</f>
        <v>16887007.840125877</v>
      </c>
      <c r="F39" s="96">
        <v>18014935</v>
      </c>
      <c r="G39" s="98">
        <f>IF(ISBLANK(F39),"-",$D$48/$F$45*F39)</f>
        <v>16928141.541762248</v>
      </c>
      <c r="I39" s="625">
        <f>ABS((F43/D43*D42)-F42)/D42</f>
        <v>2.498624223150885E-4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65</v>
      </c>
      <c r="B40" s="84">
        <v>1</v>
      </c>
      <c r="C40" s="95">
        <v>3</v>
      </c>
      <c r="D40" s="96">
        <v>16502745</v>
      </c>
      <c r="E40" s="97">
        <f>IF(ISBLANK(D40),"-",$D$48/$D$45*D40)</f>
        <v>16884637.222119983</v>
      </c>
      <c r="F40" s="96">
        <v>17992099</v>
      </c>
      <c r="G40" s="98">
        <f>IF(ISBLANK(F40),"-",$D$48/$F$45*F40)</f>
        <v>16906683.177341413</v>
      </c>
      <c r="I40" s="625"/>
      <c r="L40" s="76"/>
      <c r="M40" s="76"/>
      <c r="N40" s="99"/>
    </row>
    <row r="41" spans="1:14" ht="27" customHeight="1" x14ac:dyDescent="0.4">
      <c r="A41" s="83" t="s">
        <v>66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67</v>
      </c>
      <c r="B42" s="84">
        <v>1</v>
      </c>
      <c r="C42" s="105" t="s">
        <v>68</v>
      </c>
      <c r="D42" s="106">
        <f>AVERAGE(D38:D41)</f>
        <v>16508937</v>
      </c>
      <c r="E42" s="107">
        <f>AVERAGE(E38:E41)</f>
        <v>16890972.512017474</v>
      </c>
      <c r="F42" s="106">
        <f>AVERAGE(F38:F41)</f>
        <v>17979504.666666668</v>
      </c>
      <c r="G42" s="108">
        <f>AVERAGE(G38:G41)</f>
        <v>16894848.626881432</v>
      </c>
      <c r="H42" s="109"/>
    </row>
    <row r="43" spans="1:14" ht="26.25" customHeight="1" x14ac:dyDescent="0.4">
      <c r="A43" s="83" t="s">
        <v>69</v>
      </c>
      <c r="B43" s="84">
        <v>1</v>
      </c>
      <c r="C43" s="110" t="s">
        <v>70</v>
      </c>
      <c r="D43" s="111">
        <v>14.41</v>
      </c>
      <c r="E43" s="99"/>
      <c r="F43" s="111">
        <v>15.69</v>
      </c>
      <c r="H43" s="109"/>
    </row>
    <row r="44" spans="1:14" ht="26.25" customHeight="1" x14ac:dyDescent="0.4">
      <c r="A44" s="83" t="s">
        <v>71</v>
      </c>
      <c r="B44" s="84">
        <v>1</v>
      </c>
      <c r="C44" s="112" t="s">
        <v>72</v>
      </c>
      <c r="D44" s="113">
        <f>D43*$B$34</f>
        <v>14.41</v>
      </c>
      <c r="E44" s="114"/>
      <c r="F44" s="113">
        <f>F43*$B$34</f>
        <v>15.69</v>
      </c>
      <c r="H44" s="109"/>
    </row>
    <row r="45" spans="1:14" ht="19.5" customHeight="1" x14ac:dyDescent="0.3">
      <c r="A45" s="83" t="s">
        <v>73</v>
      </c>
      <c r="B45" s="115">
        <f>(B44/B43)*(B42/B41)*(B40/B39)*(B38/B37)*B36</f>
        <v>250</v>
      </c>
      <c r="C45" s="112" t="s">
        <v>74</v>
      </c>
      <c r="D45" s="116">
        <f>D44*$B$30/100</f>
        <v>14.660734</v>
      </c>
      <c r="E45" s="117"/>
      <c r="F45" s="116">
        <f>F44*$B$30/100</f>
        <v>15.963005999999998</v>
      </c>
      <c r="H45" s="109"/>
    </row>
    <row r="46" spans="1:14" ht="19.5" customHeight="1" x14ac:dyDescent="0.3">
      <c r="A46" s="626" t="s">
        <v>75</v>
      </c>
      <c r="B46" s="627"/>
      <c r="C46" s="112" t="s">
        <v>76</v>
      </c>
      <c r="D46" s="118">
        <f>D45/$B$45</f>
        <v>5.8642936E-2</v>
      </c>
      <c r="E46" s="119"/>
      <c r="F46" s="120">
        <f>F45/$B$45</f>
        <v>6.3852023999999993E-2</v>
      </c>
      <c r="H46" s="109"/>
    </row>
    <row r="47" spans="1:14" ht="27" customHeight="1" x14ac:dyDescent="0.4">
      <c r="A47" s="628"/>
      <c r="B47" s="629"/>
      <c r="C47" s="121" t="s">
        <v>77</v>
      </c>
      <c r="D47" s="122">
        <v>0.06</v>
      </c>
      <c r="E47" s="123"/>
      <c r="F47" s="119"/>
      <c r="H47" s="109"/>
    </row>
    <row r="48" spans="1:14" ht="18.75" x14ac:dyDescent="0.3">
      <c r="C48" s="124" t="s">
        <v>78</v>
      </c>
      <c r="D48" s="116">
        <f>D47*$B$45</f>
        <v>15</v>
      </c>
      <c r="F48" s="125"/>
      <c r="H48" s="109"/>
    </row>
    <row r="49" spans="1:12" ht="19.5" customHeight="1" x14ac:dyDescent="0.3">
      <c r="C49" s="126" t="s">
        <v>79</v>
      </c>
      <c r="D49" s="127">
        <f>D48/B34</f>
        <v>15</v>
      </c>
      <c r="F49" s="125"/>
      <c r="H49" s="109"/>
    </row>
    <row r="50" spans="1:12" ht="18.75" x14ac:dyDescent="0.3">
      <c r="C50" s="81" t="s">
        <v>80</v>
      </c>
      <c r="D50" s="128">
        <f>AVERAGE(E38:E41,G38:G41)</f>
        <v>16892910.569449451</v>
      </c>
      <c r="F50" s="129"/>
      <c r="H50" s="109"/>
    </row>
    <row r="51" spans="1:12" ht="18.75" x14ac:dyDescent="0.3">
      <c r="C51" s="83" t="s">
        <v>81</v>
      </c>
      <c r="D51" s="130">
        <f>STDEV(E38:E41,G38:G41)/D50</f>
        <v>1.5593384759676379E-3</v>
      </c>
      <c r="F51" s="129"/>
      <c r="H51" s="109"/>
    </row>
    <row r="52" spans="1:12" ht="19.5" customHeight="1" x14ac:dyDescent="0.3">
      <c r="C52" s="131" t="s">
        <v>17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82</v>
      </c>
    </row>
    <row r="55" spans="1:12" ht="18.75" x14ac:dyDescent="0.3">
      <c r="A55" s="58" t="s">
        <v>83</v>
      </c>
      <c r="B55" s="135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36" t="s">
        <v>84</v>
      </c>
      <c r="B56" s="137">
        <v>300</v>
      </c>
      <c r="C56" s="58" t="str">
        <f>B20</f>
        <v>Efavirenz 600mg, Lamivudine 300mg and Tenofovir Disoproxil Fumarate 300mg Tablets</v>
      </c>
      <c r="H56" s="138"/>
    </row>
    <row r="57" spans="1:12" ht="18.75" x14ac:dyDescent="0.3">
      <c r="A57" s="135" t="s">
        <v>85</v>
      </c>
      <c r="B57" s="227">
        <f>Uniformity!C46</f>
        <v>1904.2365000000002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86</v>
      </c>
      <c r="B59" s="82">
        <v>200</v>
      </c>
      <c r="C59" s="58"/>
      <c r="D59" s="139" t="s">
        <v>87</v>
      </c>
      <c r="E59" s="140" t="s">
        <v>59</v>
      </c>
      <c r="F59" s="140" t="s">
        <v>60</v>
      </c>
      <c r="G59" s="140" t="s">
        <v>88</v>
      </c>
      <c r="H59" s="85" t="s">
        <v>89</v>
      </c>
      <c r="L59" s="71"/>
    </row>
    <row r="60" spans="1:12" s="14" customFormat="1" ht="26.25" customHeight="1" x14ac:dyDescent="0.4">
      <c r="A60" s="83" t="s">
        <v>90</v>
      </c>
      <c r="B60" s="84">
        <v>4</v>
      </c>
      <c r="C60" s="630" t="s">
        <v>91</v>
      </c>
      <c r="D60" s="633">
        <v>1903.85</v>
      </c>
      <c r="E60" s="141">
        <v>1</v>
      </c>
      <c r="F60" s="142"/>
      <c r="G60" s="228" t="str">
        <f>IF(ISBLANK(F60),"-",(F60/$D$50*$D$47*$B$68)*($B$57/$D$60))</f>
        <v>-</v>
      </c>
      <c r="H60" s="143" t="str">
        <f t="shared" ref="H60:H71" si="0">IF(ISBLANK(F60),"-",G60/$B$56)</f>
        <v>-</v>
      </c>
      <c r="L60" s="71"/>
    </row>
    <row r="61" spans="1:12" s="14" customFormat="1" ht="26.25" customHeight="1" x14ac:dyDescent="0.4">
      <c r="A61" s="83" t="s">
        <v>92</v>
      </c>
      <c r="B61" s="84">
        <v>100</v>
      </c>
      <c r="C61" s="631"/>
      <c r="D61" s="634"/>
      <c r="E61" s="144">
        <v>2</v>
      </c>
      <c r="F61" s="96">
        <v>17602987</v>
      </c>
      <c r="G61" s="229">
        <f>IF(ISBLANK(F61),"-",(F61/$D$50*$D$47*$B$68)*($B$57/$D$60))</f>
        <v>312.67365983912998</v>
      </c>
      <c r="H61" s="145">
        <f t="shared" si="0"/>
        <v>1.0422455327970999</v>
      </c>
      <c r="L61" s="71"/>
    </row>
    <row r="62" spans="1:12" s="14" customFormat="1" ht="26.25" customHeight="1" x14ac:dyDescent="0.4">
      <c r="A62" s="83" t="s">
        <v>93</v>
      </c>
      <c r="B62" s="84">
        <v>1</v>
      </c>
      <c r="C62" s="631"/>
      <c r="D62" s="634"/>
      <c r="E62" s="144">
        <v>3</v>
      </c>
      <c r="F62" s="146"/>
      <c r="G62" s="229" t="str">
        <f>IF(ISBLANK(F62),"-",(F62/$D$50*$D$47*$B$68)*($B$57/$D$60))</f>
        <v>-</v>
      </c>
      <c r="H62" s="145" t="str">
        <f t="shared" si="0"/>
        <v>-</v>
      </c>
      <c r="L62" s="71"/>
    </row>
    <row r="63" spans="1:12" ht="27" customHeight="1" x14ac:dyDescent="0.4">
      <c r="A63" s="83" t="s">
        <v>94</v>
      </c>
      <c r="B63" s="84">
        <v>1</v>
      </c>
      <c r="C63" s="632"/>
      <c r="D63" s="635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95</v>
      </c>
      <c r="B64" s="84">
        <v>1</v>
      </c>
      <c r="C64" s="630" t="s">
        <v>96</v>
      </c>
      <c r="D64" s="633">
        <v>1902.98</v>
      </c>
      <c r="E64" s="141">
        <v>1</v>
      </c>
      <c r="F64" s="142">
        <v>16658252</v>
      </c>
      <c r="G64" s="230">
        <f>IF(ISBLANK(F64),"-",(F64/$D$50*$D$47*$B$68)*($B$57/$D$64))</f>
        <v>296.02804759963038</v>
      </c>
      <c r="H64" s="149">
        <f t="shared" si="0"/>
        <v>0.98676015866543465</v>
      </c>
    </row>
    <row r="65" spans="1:8" ht="26.25" customHeight="1" x14ac:dyDescent="0.4">
      <c r="A65" s="83" t="s">
        <v>97</v>
      </c>
      <c r="B65" s="84">
        <v>1</v>
      </c>
      <c r="C65" s="631"/>
      <c r="D65" s="634"/>
      <c r="E65" s="144">
        <v>2</v>
      </c>
      <c r="F65" s="96">
        <v>16667151</v>
      </c>
      <c r="G65" s="231">
        <f>IF(ISBLANK(F65),"-",(F65/$D$50*$D$47*$B$68)*($B$57/$D$64))</f>
        <v>296.18618865762312</v>
      </c>
      <c r="H65" s="150">
        <f t="shared" si="0"/>
        <v>0.98728729552541039</v>
      </c>
    </row>
    <row r="66" spans="1:8" ht="26.25" customHeight="1" x14ac:dyDescent="0.4">
      <c r="A66" s="83" t="s">
        <v>98</v>
      </c>
      <c r="B66" s="84">
        <v>1</v>
      </c>
      <c r="C66" s="631"/>
      <c r="D66" s="634"/>
      <c r="E66" s="144">
        <v>3</v>
      </c>
      <c r="F66" s="96">
        <v>16708829</v>
      </c>
      <c r="G66" s="231">
        <f>IF(ISBLANK(F66),"-",(F66/$D$50*$D$47*$B$68)*($B$57/$D$64))</f>
        <v>296.92683401272143</v>
      </c>
      <c r="H66" s="150">
        <f t="shared" si="0"/>
        <v>0.9897561133757381</v>
      </c>
    </row>
    <row r="67" spans="1:8" ht="27" customHeight="1" x14ac:dyDescent="0.4">
      <c r="A67" s="83" t="s">
        <v>99</v>
      </c>
      <c r="B67" s="84">
        <v>1</v>
      </c>
      <c r="C67" s="632"/>
      <c r="D67" s="635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100</v>
      </c>
      <c r="B68" s="152">
        <f>(B67/B66)*(B65/B64)*(B63/B62)*(B61/B60)*B59</f>
        <v>5000</v>
      </c>
      <c r="C68" s="630" t="s">
        <v>101</v>
      </c>
      <c r="D68" s="633">
        <v>1906.76</v>
      </c>
      <c r="E68" s="141">
        <v>1</v>
      </c>
      <c r="F68" s="142">
        <v>17067075</v>
      </c>
      <c r="G68" s="230">
        <f>IF(ISBLANK(F68),"-",(F68/$D$50*$D$47*$B$68)*($B$57/$D$68))</f>
        <v>302.6918456084012</v>
      </c>
      <c r="H68" s="145">
        <f t="shared" si="0"/>
        <v>1.0089728186946707</v>
      </c>
    </row>
    <row r="69" spans="1:8" ht="27" customHeight="1" x14ac:dyDescent="0.4">
      <c r="A69" s="131" t="s">
        <v>102</v>
      </c>
      <c r="B69" s="153">
        <f>(D47*B68)/B56*B57</f>
        <v>1904.2365000000002</v>
      </c>
      <c r="C69" s="631"/>
      <c r="D69" s="634"/>
      <c r="E69" s="144">
        <v>2</v>
      </c>
      <c r="F69" s="96">
        <v>17094452</v>
      </c>
      <c r="G69" s="231">
        <f>IF(ISBLANK(F69),"-",(F69/$D$50*$D$47*$B$68)*($B$57/$D$68))</f>
        <v>303.17738836585795</v>
      </c>
      <c r="H69" s="145">
        <f t="shared" si="0"/>
        <v>1.0105912945528599</v>
      </c>
    </row>
    <row r="70" spans="1:8" ht="26.25" customHeight="1" x14ac:dyDescent="0.4">
      <c r="A70" s="643" t="s">
        <v>75</v>
      </c>
      <c r="B70" s="644"/>
      <c r="C70" s="631"/>
      <c r="D70" s="634"/>
      <c r="E70" s="144">
        <v>3</v>
      </c>
      <c r="F70" s="96">
        <v>16853141</v>
      </c>
      <c r="G70" s="231">
        <f>IF(ISBLANK(F70),"-",(F70/$D$50*$D$47*$B$68)*($B$57/$D$68))</f>
        <v>298.89763498365227</v>
      </c>
      <c r="H70" s="145">
        <f t="shared" si="0"/>
        <v>0.99632544994550754</v>
      </c>
    </row>
    <row r="71" spans="1:8" ht="27" customHeight="1" x14ac:dyDescent="0.4">
      <c r="A71" s="645"/>
      <c r="B71" s="646"/>
      <c r="C71" s="642"/>
      <c r="D71" s="635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68</v>
      </c>
      <c r="G72" s="237">
        <f>AVERAGE(G60:G71)</f>
        <v>300.9402284381452</v>
      </c>
      <c r="H72" s="158">
        <f>AVERAGE(H60:H71)</f>
        <v>1.0031340947938172</v>
      </c>
    </row>
    <row r="73" spans="1:8" ht="26.25" customHeight="1" x14ac:dyDescent="0.4">
      <c r="C73" s="155"/>
      <c r="D73" s="155"/>
      <c r="E73" s="155"/>
      <c r="F73" s="159" t="s">
        <v>81</v>
      </c>
      <c r="G73" s="233">
        <f>STDEV(G60:G71)/G72</f>
        <v>1.978725006882219E-2</v>
      </c>
      <c r="H73" s="233">
        <f>STDEV(H60:H71)/H72</f>
        <v>1.9787250068822169E-2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17</v>
      </c>
      <c r="G74" s="162">
        <f>COUNT(G60:G71)</f>
        <v>7</v>
      </c>
      <c r="H74" s="162">
        <f>COUNT(H60:H71)</f>
        <v>7</v>
      </c>
    </row>
    <row r="76" spans="1:8" ht="26.25" customHeight="1" x14ac:dyDescent="0.4">
      <c r="A76" s="67" t="s">
        <v>103</v>
      </c>
      <c r="B76" s="163" t="s">
        <v>104</v>
      </c>
      <c r="C76" s="638" t="str">
        <f>B20</f>
        <v>Efavirenz 600mg, Lamivudine 300mg and Tenofovir Disoproxil Fumarate 300mg Tablets</v>
      </c>
      <c r="D76" s="638"/>
      <c r="E76" s="164" t="s">
        <v>105</v>
      </c>
      <c r="F76" s="164"/>
      <c r="G76" s="165">
        <f>H72</f>
        <v>1.0031340947938172</v>
      </c>
      <c r="H76" s="166"/>
    </row>
    <row r="77" spans="1:8" ht="18.75" x14ac:dyDescent="0.3">
      <c r="A77" s="66" t="s">
        <v>106</v>
      </c>
      <c r="B77" s="66" t="s">
        <v>107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624" t="str">
        <f>B26</f>
        <v>Lamivudine</v>
      </c>
      <c r="C79" s="624"/>
    </row>
    <row r="80" spans="1:8" ht="26.25" customHeight="1" x14ac:dyDescent="0.4">
      <c r="A80" s="68" t="s">
        <v>45</v>
      </c>
      <c r="B80" s="624" t="str">
        <f>B27</f>
        <v>L3-9</v>
      </c>
      <c r="C80" s="624"/>
    </row>
    <row r="81" spans="1:12" ht="27" customHeight="1" x14ac:dyDescent="0.4">
      <c r="A81" s="68" t="s">
        <v>6</v>
      </c>
      <c r="B81" s="167">
        <f>B28</f>
        <v>101.74</v>
      </c>
    </row>
    <row r="82" spans="1:12" s="14" customFormat="1" ht="27" customHeight="1" x14ac:dyDescent="0.4">
      <c r="A82" s="68" t="s">
        <v>46</v>
      </c>
      <c r="B82" s="70">
        <v>0</v>
      </c>
      <c r="C82" s="615" t="s">
        <v>47</v>
      </c>
      <c r="D82" s="616"/>
      <c r="E82" s="616"/>
      <c r="F82" s="616"/>
      <c r="G82" s="617"/>
      <c r="I82" s="71"/>
      <c r="J82" s="71"/>
      <c r="K82" s="71"/>
      <c r="L82" s="71"/>
    </row>
    <row r="83" spans="1:12" s="14" customFormat="1" ht="19.5" customHeight="1" x14ac:dyDescent="0.3">
      <c r="A83" s="68" t="s">
        <v>48</v>
      </c>
      <c r="B83" s="72">
        <f>B81-B82</f>
        <v>101.74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49</v>
      </c>
      <c r="B84" s="75">
        <v>1</v>
      </c>
      <c r="C84" s="618" t="s">
        <v>108</v>
      </c>
      <c r="D84" s="619"/>
      <c r="E84" s="619"/>
      <c r="F84" s="619"/>
      <c r="G84" s="619"/>
      <c r="H84" s="620"/>
      <c r="I84" s="71"/>
      <c r="J84" s="71"/>
      <c r="K84" s="71"/>
      <c r="L84" s="71"/>
    </row>
    <row r="85" spans="1:12" s="14" customFormat="1" ht="27" customHeight="1" x14ac:dyDescent="0.4">
      <c r="A85" s="68" t="s">
        <v>51</v>
      </c>
      <c r="B85" s="75">
        <v>1</v>
      </c>
      <c r="C85" s="618" t="s">
        <v>109</v>
      </c>
      <c r="D85" s="619"/>
      <c r="E85" s="619"/>
      <c r="F85" s="619"/>
      <c r="G85" s="619"/>
      <c r="H85" s="620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53</v>
      </c>
      <c r="B87" s="80">
        <f>B84/B85</f>
        <v>1</v>
      </c>
      <c r="C87" s="58" t="s">
        <v>54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55</v>
      </c>
      <c r="B89" s="82">
        <v>25</v>
      </c>
      <c r="D89" s="168" t="s">
        <v>56</v>
      </c>
      <c r="E89" s="169"/>
      <c r="F89" s="621" t="s">
        <v>57</v>
      </c>
      <c r="G89" s="623"/>
    </row>
    <row r="90" spans="1:12" ht="27" customHeight="1" x14ac:dyDescent="0.4">
      <c r="A90" s="83" t="s">
        <v>58</v>
      </c>
      <c r="B90" s="84">
        <v>10</v>
      </c>
      <c r="C90" s="170" t="s">
        <v>59</v>
      </c>
      <c r="D90" s="86" t="s">
        <v>60</v>
      </c>
      <c r="E90" s="87" t="s">
        <v>61</v>
      </c>
      <c r="F90" s="86" t="s">
        <v>60</v>
      </c>
      <c r="G90" s="171" t="s">
        <v>61</v>
      </c>
      <c r="I90" s="89" t="s">
        <v>62</v>
      </c>
    </row>
    <row r="91" spans="1:12" ht="26.25" customHeight="1" x14ac:dyDescent="0.4">
      <c r="A91" s="83" t="s">
        <v>63</v>
      </c>
      <c r="B91" s="84">
        <v>20</v>
      </c>
      <c r="C91" s="172">
        <v>1</v>
      </c>
      <c r="D91" s="653">
        <v>88399115</v>
      </c>
      <c r="E91" s="92">
        <f>IF(ISBLANK(D91),"-",$D$101/$D$98*D91)</f>
        <v>85239316.276128277</v>
      </c>
      <c r="F91" s="653">
        <v>94508634</v>
      </c>
      <c r="G91" s="93">
        <f>IF(ISBLANK(F91),"-",$D$101/$F$98*F91)</f>
        <v>85066215.97392188</v>
      </c>
      <c r="I91" s="94"/>
    </row>
    <row r="92" spans="1:12" ht="26.25" customHeight="1" x14ac:dyDescent="0.4">
      <c r="A92" s="83" t="s">
        <v>64</v>
      </c>
      <c r="B92" s="84">
        <v>1</v>
      </c>
      <c r="C92" s="156">
        <v>2</v>
      </c>
      <c r="D92" s="654">
        <v>88525147</v>
      </c>
      <c r="E92" s="97">
        <f>IF(ISBLANK(D92),"-",$D$101/$D$98*D92)</f>
        <v>85360843.301697627</v>
      </c>
      <c r="F92" s="654">
        <v>94622786</v>
      </c>
      <c r="G92" s="98">
        <f>IF(ISBLANK(F92),"-",$D$101/$F$98*F92)</f>
        <v>85168962.974644125</v>
      </c>
      <c r="I92" s="625">
        <f>ABS((F96/D96*D95)-F95)/D95</f>
        <v>7.5647567794110229E-4</v>
      </c>
    </row>
    <row r="93" spans="1:12" ht="26.25" customHeight="1" x14ac:dyDescent="0.4">
      <c r="A93" s="83" t="s">
        <v>65</v>
      </c>
      <c r="B93" s="84">
        <v>1</v>
      </c>
      <c r="C93" s="156">
        <v>3</v>
      </c>
      <c r="D93" s="654">
        <v>88450203</v>
      </c>
      <c r="E93" s="97">
        <f>IF(ISBLANK(D93),"-",$D$101/$D$98*D93)</f>
        <v>85288578.15154314</v>
      </c>
      <c r="F93" s="654">
        <v>94960423</v>
      </c>
      <c r="G93" s="98">
        <f>IF(ISBLANK(F93),"-",$D$101/$F$98*F93)</f>
        <v>85472866.446180776</v>
      </c>
      <c r="I93" s="625"/>
    </row>
    <row r="94" spans="1:12" ht="27" customHeight="1" x14ac:dyDescent="0.4">
      <c r="A94" s="83" t="s">
        <v>66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67</v>
      </c>
      <c r="B95" s="84">
        <v>1</v>
      </c>
      <c r="C95" s="175" t="s">
        <v>68</v>
      </c>
      <c r="D95" s="176">
        <f>AVERAGE(D91:D94)</f>
        <v>88458155</v>
      </c>
      <c r="E95" s="107">
        <f>AVERAGE(E91:E94)</f>
        <v>85296245.909789681</v>
      </c>
      <c r="F95" s="177">
        <f>AVERAGE(F91:F94)</f>
        <v>94697281</v>
      </c>
      <c r="G95" s="178">
        <f>AVERAGE(G91:G94)</f>
        <v>85236015.13158226</v>
      </c>
    </row>
    <row r="96" spans="1:12" ht="26.25" customHeight="1" x14ac:dyDescent="0.4">
      <c r="A96" s="83" t="s">
        <v>69</v>
      </c>
      <c r="B96" s="69">
        <v>1</v>
      </c>
      <c r="C96" s="179" t="s">
        <v>110</v>
      </c>
      <c r="D96" s="180">
        <v>15.29</v>
      </c>
      <c r="E96" s="99"/>
      <c r="F96" s="111">
        <v>16.38</v>
      </c>
    </row>
    <row r="97" spans="1:10" ht="26.25" customHeight="1" x14ac:dyDescent="0.4">
      <c r="A97" s="83" t="s">
        <v>71</v>
      </c>
      <c r="B97" s="69">
        <v>1</v>
      </c>
      <c r="C97" s="181" t="s">
        <v>111</v>
      </c>
      <c r="D97" s="182">
        <f>D96*$B$87</f>
        <v>15.29</v>
      </c>
      <c r="E97" s="114"/>
      <c r="F97" s="113">
        <f>F96*$B$87</f>
        <v>16.38</v>
      </c>
    </row>
    <row r="98" spans="1:10" ht="19.5" customHeight="1" x14ac:dyDescent="0.3">
      <c r="A98" s="83" t="s">
        <v>73</v>
      </c>
      <c r="B98" s="183">
        <f>(B97/B96)*(B95/B94)*(B93/B92)*(B91/B90)*B89</f>
        <v>50</v>
      </c>
      <c r="C98" s="181" t="s">
        <v>112</v>
      </c>
      <c r="D98" s="184">
        <f>D97*$B$83/100</f>
        <v>15.556045999999998</v>
      </c>
      <c r="E98" s="117"/>
      <c r="F98" s="116">
        <f>F97*$B$83/100</f>
        <v>16.665012000000001</v>
      </c>
    </row>
    <row r="99" spans="1:10" ht="19.5" customHeight="1" x14ac:dyDescent="0.3">
      <c r="A99" s="626" t="s">
        <v>75</v>
      </c>
      <c r="B99" s="640"/>
      <c r="C99" s="181" t="s">
        <v>113</v>
      </c>
      <c r="D99" s="185">
        <f>D98/$B$98</f>
        <v>0.31112091999999997</v>
      </c>
      <c r="E99" s="117"/>
      <c r="F99" s="120">
        <f>F98/$B$98</f>
        <v>0.33330024000000003</v>
      </c>
      <c r="G99" s="186"/>
      <c r="H99" s="109"/>
    </row>
    <row r="100" spans="1:10" ht="19.5" customHeight="1" x14ac:dyDescent="0.3">
      <c r="A100" s="628"/>
      <c r="B100" s="641"/>
      <c r="C100" s="181" t="s">
        <v>77</v>
      </c>
      <c r="D100" s="187">
        <f>$B$56/$B$116</f>
        <v>0.3</v>
      </c>
      <c r="F100" s="125"/>
      <c r="G100" s="188"/>
      <c r="H100" s="109"/>
    </row>
    <row r="101" spans="1:10" ht="18.75" x14ac:dyDescent="0.3">
      <c r="C101" s="181" t="s">
        <v>78</v>
      </c>
      <c r="D101" s="182">
        <f>D100*$B$98</f>
        <v>15</v>
      </c>
      <c r="F101" s="125"/>
      <c r="G101" s="186"/>
      <c r="H101" s="109"/>
    </row>
    <row r="102" spans="1:10" ht="19.5" customHeight="1" x14ac:dyDescent="0.3">
      <c r="C102" s="189" t="s">
        <v>79</v>
      </c>
      <c r="D102" s="190">
        <f>D101/B34</f>
        <v>15</v>
      </c>
      <c r="F102" s="129"/>
      <c r="G102" s="186"/>
      <c r="H102" s="109"/>
      <c r="J102" s="191"/>
    </row>
    <row r="103" spans="1:10" ht="18.75" x14ac:dyDescent="0.3">
      <c r="C103" s="192" t="s">
        <v>114</v>
      </c>
      <c r="D103" s="193">
        <f>AVERAGE(E91:E94,G91:G94)</f>
        <v>85266130.520685971</v>
      </c>
      <c r="F103" s="129"/>
      <c r="G103" s="194"/>
      <c r="H103" s="109"/>
      <c r="J103" s="195"/>
    </row>
    <row r="104" spans="1:10" ht="18.75" x14ac:dyDescent="0.3">
      <c r="C104" s="159" t="s">
        <v>81</v>
      </c>
      <c r="D104" s="196">
        <f>STDEV(E91:E94,G91:G94)/D103</f>
        <v>1.6778851683063459E-3</v>
      </c>
      <c r="F104" s="129"/>
      <c r="G104" s="186"/>
      <c r="H104" s="109"/>
      <c r="J104" s="195"/>
    </row>
    <row r="105" spans="1:10" ht="19.5" customHeight="1" x14ac:dyDescent="0.3">
      <c r="C105" s="161" t="s">
        <v>17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115</v>
      </c>
      <c r="B107" s="82">
        <v>1000</v>
      </c>
      <c r="C107" s="198" t="s">
        <v>116</v>
      </c>
      <c r="D107" s="199" t="s">
        <v>60</v>
      </c>
      <c r="E107" s="200" t="s">
        <v>117</v>
      </c>
      <c r="F107" s="201" t="s">
        <v>118</v>
      </c>
    </row>
    <row r="108" spans="1:10" ht="26.25" customHeight="1" x14ac:dyDescent="0.4">
      <c r="A108" s="83" t="s">
        <v>119</v>
      </c>
      <c r="B108" s="84">
        <v>1</v>
      </c>
      <c r="C108" s="202">
        <v>1</v>
      </c>
      <c r="D108" s="203">
        <v>85586918</v>
      </c>
      <c r="E108" s="234">
        <f t="shared" ref="E108:E113" si="1">IF(ISBLANK(D108),"-",D108/$D$103*$D$100*$B$116)</f>
        <v>301.12865733681747</v>
      </c>
      <c r="F108" s="204">
        <f t="shared" ref="F108:F113" si="2">IF(ISBLANK(D108), "-", E108/$B$56)</f>
        <v>1.0037621911227248</v>
      </c>
    </row>
    <row r="109" spans="1:10" ht="26.25" customHeight="1" x14ac:dyDescent="0.4">
      <c r="A109" s="83" t="s">
        <v>92</v>
      </c>
      <c r="B109" s="84">
        <v>1</v>
      </c>
      <c r="C109" s="202">
        <v>2</v>
      </c>
      <c r="D109" s="203">
        <v>85728784</v>
      </c>
      <c r="E109" s="235">
        <f t="shared" si="1"/>
        <v>301.627798082857</v>
      </c>
      <c r="F109" s="205">
        <f t="shared" si="2"/>
        <v>1.0054259936095233</v>
      </c>
    </row>
    <row r="110" spans="1:10" ht="26.25" customHeight="1" x14ac:dyDescent="0.4">
      <c r="A110" s="83" t="s">
        <v>93</v>
      </c>
      <c r="B110" s="84">
        <v>1</v>
      </c>
      <c r="C110" s="202">
        <v>3</v>
      </c>
      <c r="D110" s="203">
        <v>85253137</v>
      </c>
      <c r="E110" s="235">
        <f t="shared" si="1"/>
        <v>299.95428365070649</v>
      </c>
      <c r="F110" s="205">
        <f t="shared" si="2"/>
        <v>0.99984761216902163</v>
      </c>
    </row>
    <row r="111" spans="1:10" ht="26.25" customHeight="1" x14ac:dyDescent="0.4">
      <c r="A111" s="83" t="s">
        <v>94</v>
      </c>
      <c r="B111" s="84">
        <v>1</v>
      </c>
      <c r="C111" s="202">
        <v>4</v>
      </c>
      <c r="D111" s="203">
        <v>85463116</v>
      </c>
      <c r="E111" s="235">
        <f t="shared" si="1"/>
        <v>300.69307289346114</v>
      </c>
      <c r="F111" s="205">
        <f t="shared" si="2"/>
        <v>1.0023102429782038</v>
      </c>
    </row>
    <row r="112" spans="1:10" ht="26.25" customHeight="1" x14ac:dyDescent="0.4">
      <c r="A112" s="83" t="s">
        <v>95</v>
      </c>
      <c r="B112" s="84">
        <v>1</v>
      </c>
      <c r="C112" s="202">
        <v>5</v>
      </c>
      <c r="D112" s="203">
        <v>85117724</v>
      </c>
      <c r="E112" s="235">
        <f t="shared" si="1"/>
        <v>299.47784711310442</v>
      </c>
      <c r="F112" s="205">
        <f t="shared" si="2"/>
        <v>0.99825949037701467</v>
      </c>
    </row>
    <row r="113" spans="1:10" ht="26.25" customHeight="1" x14ac:dyDescent="0.4">
      <c r="A113" s="83" t="s">
        <v>97</v>
      </c>
      <c r="B113" s="84">
        <v>1</v>
      </c>
      <c r="C113" s="206">
        <v>6</v>
      </c>
      <c r="D113" s="207">
        <v>84951048</v>
      </c>
      <c r="E113" s="236">
        <f t="shared" si="1"/>
        <v>298.89141496595931</v>
      </c>
      <c r="F113" s="208">
        <f t="shared" si="2"/>
        <v>0.99630471655319774</v>
      </c>
    </row>
    <row r="114" spans="1:10" ht="26.25" customHeight="1" x14ac:dyDescent="0.4">
      <c r="A114" s="83" t="s">
        <v>98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99</v>
      </c>
      <c r="B115" s="84">
        <v>1</v>
      </c>
      <c r="C115" s="202"/>
      <c r="D115" s="210" t="s">
        <v>68</v>
      </c>
      <c r="E115" s="238">
        <f>AVERAGE(E108:E113)</f>
        <v>300.29551234048432</v>
      </c>
      <c r="F115" s="211">
        <f>AVERAGE(F108:F113)</f>
        <v>1.0009850411349477</v>
      </c>
    </row>
    <row r="116" spans="1:10" ht="27" customHeight="1" x14ac:dyDescent="0.4">
      <c r="A116" s="83" t="s">
        <v>100</v>
      </c>
      <c r="B116" s="115">
        <f>(B115/B114)*(B113/B112)*(B111/B110)*(B109/B108)*B107</f>
        <v>1000</v>
      </c>
      <c r="C116" s="212"/>
      <c r="D116" s="175" t="s">
        <v>81</v>
      </c>
      <c r="E116" s="213">
        <f>STDEV(E108:E113)/E115</f>
        <v>3.4554570462480413E-3</v>
      </c>
      <c r="F116" s="213">
        <f>STDEV(F108:F113)/F115</f>
        <v>3.4554570462480309E-3</v>
      </c>
      <c r="I116" s="57"/>
    </row>
    <row r="117" spans="1:10" ht="27" customHeight="1" x14ac:dyDescent="0.4">
      <c r="A117" s="626" t="s">
        <v>75</v>
      </c>
      <c r="B117" s="627"/>
      <c r="C117" s="214"/>
      <c r="D117" s="215" t="s">
        <v>17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628"/>
      <c r="B118" s="629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103</v>
      </c>
      <c r="B120" s="163" t="s">
        <v>120</v>
      </c>
      <c r="C120" s="638" t="str">
        <f>B20</f>
        <v>Efavirenz 600mg, Lamivudine 300mg and Tenofovir Disoproxil Fumarate 300mg Tablets</v>
      </c>
      <c r="D120" s="638"/>
      <c r="E120" s="164" t="s">
        <v>121</v>
      </c>
      <c r="F120" s="164"/>
      <c r="G120" s="165">
        <f>F115</f>
        <v>1.0009850411349477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639" t="s">
        <v>23</v>
      </c>
      <c r="C122" s="639"/>
      <c r="E122" s="170" t="s">
        <v>24</v>
      </c>
      <c r="F122" s="219"/>
      <c r="G122" s="639" t="s">
        <v>25</v>
      </c>
      <c r="H122" s="639"/>
    </row>
    <row r="123" spans="1:10" ht="69.95" customHeight="1" x14ac:dyDescent="0.3">
      <c r="A123" s="220" t="s">
        <v>26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27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37" zoomScale="55" zoomScaleNormal="40" zoomScalePageLayoutView="55" workbookViewId="0">
      <selection activeCell="G116" sqref="G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6" t="s">
        <v>42</v>
      </c>
      <c r="B1" s="636"/>
      <c r="C1" s="636"/>
      <c r="D1" s="636"/>
      <c r="E1" s="636"/>
      <c r="F1" s="636"/>
      <c r="G1" s="636"/>
      <c r="H1" s="636"/>
      <c r="I1" s="636"/>
    </row>
    <row r="2" spans="1:9" ht="18.7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</row>
    <row r="3" spans="1:9" ht="18.75" customHeight="1" x14ac:dyDescent="0.25">
      <c r="A3" s="636"/>
      <c r="B3" s="636"/>
      <c r="C3" s="636"/>
      <c r="D3" s="636"/>
      <c r="E3" s="636"/>
      <c r="F3" s="636"/>
      <c r="G3" s="636"/>
      <c r="H3" s="636"/>
      <c r="I3" s="636"/>
    </row>
    <row r="4" spans="1:9" ht="18.75" customHeight="1" x14ac:dyDescent="0.25">
      <c r="A4" s="636"/>
      <c r="B4" s="636"/>
      <c r="C4" s="636"/>
      <c r="D4" s="636"/>
      <c r="E4" s="636"/>
      <c r="F4" s="636"/>
      <c r="G4" s="636"/>
      <c r="H4" s="636"/>
      <c r="I4" s="636"/>
    </row>
    <row r="5" spans="1:9" ht="18.75" customHeight="1" x14ac:dyDescent="0.25">
      <c r="A5" s="636"/>
      <c r="B5" s="636"/>
      <c r="C5" s="636"/>
      <c r="D5" s="636"/>
      <c r="E5" s="636"/>
      <c r="F5" s="636"/>
      <c r="G5" s="636"/>
      <c r="H5" s="636"/>
      <c r="I5" s="636"/>
    </row>
    <row r="6" spans="1:9" ht="18.75" customHeight="1" x14ac:dyDescent="0.25">
      <c r="A6" s="636"/>
      <c r="B6" s="636"/>
      <c r="C6" s="636"/>
      <c r="D6" s="636"/>
      <c r="E6" s="636"/>
      <c r="F6" s="636"/>
      <c r="G6" s="636"/>
      <c r="H6" s="636"/>
      <c r="I6" s="636"/>
    </row>
    <row r="7" spans="1:9" ht="18.75" customHeight="1" x14ac:dyDescent="0.25">
      <c r="A7" s="636"/>
      <c r="B7" s="636"/>
      <c r="C7" s="636"/>
      <c r="D7" s="636"/>
      <c r="E7" s="636"/>
      <c r="F7" s="636"/>
      <c r="G7" s="636"/>
      <c r="H7" s="636"/>
      <c r="I7" s="636"/>
    </row>
    <row r="8" spans="1:9" x14ac:dyDescent="0.25">
      <c r="A8" s="637" t="s">
        <v>43</v>
      </c>
      <c r="B8" s="637"/>
      <c r="C8" s="637"/>
      <c r="D8" s="637"/>
      <c r="E8" s="637"/>
      <c r="F8" s="637"/>
      <c r="G8" s="637"/>
      <c r="H8" s="637"/>
      <c r="I8" s="637"/>
    </row>
    <row r="9" spans="1:9" x14ac:dyDescent="0.25">
      <c r="A9" s="637"/>
      <c r="B9" s="637"/>
      <c r="C9" s="637"/>
      <c r="D9" s="637"/>
      <c r="E9" s="637"/>
      <c r="F9" s="637"/>
      <c r="G9" s="637"/>
      <c r="H9" s="637"/>
      <c r="I9" s="637"/>
    </row>
    <row r="10" spans="1:9" x14ac:dyDescent="0.25">
      <c r="A10" s="637"/>
      <c r="B10" s="637"/>
      <c r="C10" s="637"/>
      <c r="D10" s="637"/>
      <c r="E10" s="637"/>
      <c r="F10" s="637"/>
      <c r="G10" s="637"/>
      <c r="H10" s="637"/>
      <c r="I10" s="637"/>
    </row>
    <row r="11" spans="1:9" x14ac:dyDescent="0.25">
      <c r="A11" s="637"/>
      <c r="B11" s="637"/>
      <c r="C11" s="637"/>
      <c r="D11" s="637"/>
      <c r="E11" s="637"/>
      <c r="F11" s="637"/>
      <c r="G11" s="637"/>
      <c r="H11" s="637"/>
      <c r="I11" s="637"/>
    </row>
    <row r="12" spans="1:9" x14ac:dyDescent="0.25">
      <c r="A12" s="637"/>
      <c r="B12" s="637"/>
      <c r="C12" s="637"/>
      <c r="D12" s="637"/>
      <c r="E12" s="637"/>
      <c r="F12" s="637"/>
      <c r="G12" s="637"/>
      <c r="H12" s="637"/>
      <c r="I12" s="637"/>
    </row>
    <row r="13" spans="1:9" x14ac:dyDescent="0.25">
      <c r="A13" s="637"/>
      <c r="B13" s="637"/>
      <c r="C13" s="637"/>
      <c r="D13" s="637"/>
      <c r="E13" s="637"/>
      <c r="F13" s="637"/>
      <c r="G13" s="637"/>
      <c r="H13" s="637"/>
      <c r="I13" s="637"/>
    </row>
    <row r="14" spans="1:9" x14ac:dyDescent="0.25">
      <c r="A14" s="637"/>
      <c r="B14" s="637"/>
      <c r="C14" s="637"/>
      <c r="D14" s="637"/>
      <c r="E14" s="637"/>
      <c r="F14" s="637"/>
      <c r="G14" s="637"/>
      <c r="H14" s="637"/>
      <c r="I14" s="637"/>
    </row>
    <row r="15" spans="1:9" ht="19.5" customHeight="1" x14ac:dyDescent="0.3">
      <c r="A15" s="240"/>
    </row>
    <row r="16" spans="1:9" ht="19.5" customHeight="1" x14ac:dyDescent="0.3">
      <c r="A16" s="609" t="s">
        <v>28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44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242" t="s">
        <v>30</v>
      </c>
      <c r="B18" s="608" t="s">
        <v>5</v>
      </c>
      <c r="C18" s="608"/>
      <c r="D18" s="408"/>
      <c r="E18" s="243"/>
      <c r="F18" s="244"/>
      <c r="G18" s="244"/>
      <c r="H18" s="244"/>
    </row>
    <row r="19" spans="1:14" ht="26.25" customHeight="1" x14ac:dyDescent="0.4">
      <c r="A19" s="242" t="s">
        <v>31</v>
      </c>
      <c r="B19" s="245" t="s">
        <v>132</v>
      </c>
      <c r="C19" s="421">
        <v>29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32</v>
      </c>
      <c r="B20" s="647" t="s">
        <v>123</v>
      </c>
      <c r="C20" s="647"/>
      <c r="D20" s="244"/>
      <c r="E20" s="244"/>
      <c r="F20" s="244"/>
      <c r="G20" s="244"/>
      <c r="H20" s="244"/>
    </row>
    <row r="21" spans="1:14" ht="26.25" customHeight="1" x14ac:dyDescent="0.4">
      <c r="A21" s="242" t="s">
        <v>33</v>
      </c>
      <c r="B21" s="647" t="s">
        <v>122</v>
      </c>
      <c r="C21" s="647"/>
      <c r="D21" s="647"/>
      <c r="E21" s="647"/>
      <c r="F21" s="647"/>
      <c r="G21" s="647"/>
      <c r="H21" s="647"/>
      <c r="I21" s="246"/>
    </row>
    <row r="22" spans="1:14" ht="26.25" customHeight="1" x14ac:dyDescent="0.4">
      <c r="A22" s="242" t="s">
        <v>34</v>
      </c>
      <c r="B22" s="247">
        <v>42503.536458333336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35</v>
      </c>
      <c r="B23" s="429">
        <v>42510.536458333336</v>
      </c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608" t="s">
        <v>126</v>
      </c>
      <c r="C26" s="608"/>
    </row>
    <row r="27" spans="1:14" ht="26.25" customHeight="1" x14ac:dyDescent="0.4">
      <c r="A27" s="251" t="s">
        <v>45</v>
      </c>
      <c r="B27" s="614" t="s">
        <v>127</v>
      </c>
      <c r="C27" s="614"/>
    </row>
    <row r="28" spans="1:14" ht="27" customHeight="1" x14ac:dyDescent="0.4">
      <c r="A28" s="251" t="s">
        <v>6</v>
      </c>
      <c r="B28" s="252">
        <v>98.8</v>
      </c>
    </row>
    <row r="29" spans="1:14" s="14" customFormat="1" ht="27" customHeight="1" x14ac:dyDescent="0.4">
      <c r="A29" s="251" t="s">
        <v>46</v>
      </c>
      <c r="B29" s="253">
        <v>0</v>
      </c>
      <c r="C29" s="615" t="s">
        <v>47</v>
      </c>
      <c r="D29" s="616"/>
      <c r="E29" s="616"/>
      <c r="F29" s="616"/>
      <c r="G29" s="617"/>
      <c r="I29" s="254"/>
      <c r="J29" s="254"/>
      <c r="K29" s="254"/>
      <c r="L29" s="254"/>
    </row>
    <row r="30" spans="1:14" s="14" customFormat="1" ht="19.5" customHeight="1" x14ac:dyDescent="0.3">
      <c r="A30" s="251" t="s">
        <v>48</v>
      </c>
      <c r="B30" s="255">
        <f>B28-B29</f>
        <v>98.8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49</v>
      </c>
      <c r="B31" s="258">
        <v>1</v>
      </c>
      <c r="C31" s="618" t="s">
        <v>50</v>
      </c>
      <c r="D31" s="619"/>
      <c r="E31" s="619"/>
      <c r="F31" s="619"/>
      <c r="G31" s="619"/>
      <c r="H31" s="620"/>
      <c r="I31" s="254"/>
      <c r="J31" s="254"/>
      <c r="K31" s="254"/>
      <c r="L31" s="254"/>
    </row>
    <row r="32" spans="1:14" s="14" customFormat="1" ht="27" customHeight="1" x14ac:dyDescent="0.4">
      <c r="A32" s="251" t="s">
        <v>51</v>
      </c>
      <c r="B32" s="258">
        <v>1</v>
      </c>
      <c r="C32" s="618" t="s">
        <v>52</v>
      </c>
      <c r="D32" s="619"/>
      <c r="E32" s="619"/>
      <c r="F32" s="619"/>
      <c r="G32" s="619"/>
      <c r="H32" s="620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53</v>
      </c>
      <c r="B34" s="263">
        <f>B31/B32</f>
        <v>1</v>
      </c>
      <c r="C34" s="241" t="s">
        <v>54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55</v>
      </c>
      <c r="B36" s="265">
        <v>25</v>
      </c>
      <c r="C36" s="241"/>
      <c r="D36" s="621" t="s">
        <v>56</v>
      </c>
      <c r="E36" s="622"/>
      <c r="F36" s="621" t="s">
        <v>57</v>
      </c>
      <c r="G36" s="623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58</v>
      </c>
      <c r="B37" s="267">
        <v>5</v>
      </c>
      <c r="C37" s="268" t="s">
        <v>59</v>
      </c>
      <c r="D37" s="269" t="s">
        <v>60</v>
      </c>
      <c r="E37" s="270" t="s">
        <v>61</v>
      </c>
      <c r="F37" s="269" t="s">
        <v>60</v>
      </c>
      <c r="G37" s="271" t="s">
        <v>61</v>
      </c>
      <c r="I37" s="272" t="s">
        <v>62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63</v>
      </c>
      <c r="B38" s="267">
        <v>50</v>
      </c>
      <c r="C38" s="273">
        <v>1</v>
      </c>
      <c r="D38" s="456">
        <v>12383607</v>
      </c>
      <c r="E38" s="274">
        <f>IF(ISBLANK(D38),"-",$D$48/$D$45*D38)</f>
        <v>12643592.988082957</v>
      </c>
      <c r="F38" s="456">
        <v>13719125</v>
      </c>
      <c r="G38" s="275">
        <f>IF(ISBLANK(F38),"-",$D$48/$F$45*F38)</f>
        <v>12509688.332056755</v>
      </c>
      <c r="I38" s="276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64</v>
      </c>
      <c r="B39" s="267">
        <v>1</v>
      </c>
      <c r="C39" s="277">
        <v>2</v>
      </c>
      <c r="D39" s="461">
        <v>12381609</v>
      </c>
      <c r="E39" s="279">
        <f>IF(ISBLANK(D39),"-",$D$48/$D$45*D39)</f>
        <v>12641553.041338023</v>
      </c>
      <c r="F39" s="461">
        <v>13775200</v>
      </c>
      <c r="G39" s="280">
        <f>IF(ISBLANK(F39),"-",$D$48/$F$45*F39)</f>
        <v>12560819.929240983</v>
      </c>
      <c r="I39" s="625">
        <f>ABS((F43/D43*D42)-F42)/D42</f>
        <v>9.1711846635060008E-3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65</v>
      </c>
      <c r="B40" s="267">
        <v>1</v>
      </c>
      <c r="C40" s="277">
        <v>3</v>
      </c>
      <c r="D40" s="461">
        <v>12391507</v>
      </c>
      <c r="E40" s="279">
        <f>IF(ISBLANK(D40),"-",$D$48/$D$45*D40)</f>
        <v>12651658.843580943</v>
      </c>
      <c r="F40" s="461">
        <v>13769439</v>
      </c>
      <c r="G40" s="280">
        <f>IF(ISBLANK(F40),"-",$D$48/$F$45*F40)</f>
        <v>12555566.801619435</v>
      </c>
      <c r="I40" s="625"/>
      <c r="L40" s="259"/>
      <c r="M40" s="259"/>
      <c r="N40" s="281"/>
    </row>
    <row r="41" spans="1:14" ht="27" customHeight="1" x14ac:dyDescent="0.4">
      <c r="A41" s="266" t="s">
        <v>66</v>
      </c>
      <c r="B41" s="267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9"/>
      <c r="M41" s="259"/>
      <c r="N41" s="281"/>
    </row>
    <row r="42" spans="1:14" ht="27" customHeight="1" x14ac:dyDescent="0.4">
      <c r="A42" s="266" t="s">
        <v>67</v>
      </c>
      <c r="B42" s="267">
        <v>1</v>
      </c>
      <c r="C42" s="287" t="s">
        <v>68</v>
      </c>
      <c r="D42" s="288">
        <f>AVERAGE(D38:D41)</f>
        <v>12385574.333333334</v>
      </c>
      <c r="E42" s="289">
        <f>AVERAGE(E38:E41)</f>
        <v>12645601.624333972</v>
      </c>
      <c r="F42" s="288">
        <f>AVERAGE(F38:F41)</f>
        <v>13754588</v>
      </c>
      <c r="G42" s="290">
        <f>AVERAGE(G38:G41)</f>
        <v>12542025.020972392</v>
      </c>
      <c r="H42" s="291"/>
    </row>
    <row r="43" spans="1:14" ht="26.25" customHeight="1" x14ac:dyDescent="0.4">
      <c r="A43" s="266" t="s">
        <v>69</v>
      </c>
      <c r="B43" s="267">
        <v>1</v>
      </c>
      <c r="C43" s="292" t="s">
        <v>70</v>
      </c>
      <c r="D43" s="293">
        <v>14.87</v>
      </c>
      <c r="E43" s="281"/>
      <c r="F43" s="293">
        <v>16.649999999999999</v>
      </c>
      <c r="H43" s="291"/>
    </row>
    <row r="44" spans="1:14" ht="26.25" customHeight="1" x14ac:dyDescent="0.4">
      <c r="A44" s="266" t="s">
        <v>71</v>
      </c>
      <c r="B44" s="267">
        <v>1</v>
      </c>
      <c r="C44" s="294" t="s">
        <v>72</v>
      </c>
      <c r="D44" s="295">
        <f>D43*$B$34</f>
        <v>14.87</v>
      </c>
      <c r="E44" s="296"/>
      <c r="F44" s="295">
        <f>F43*$B$34</f>
        <v>16.649999999999999</v>
      </c>
      <c r="H44" s="291"/>
    </row>
    <row r="45" spans="1:14" ht="19.5" customHeight="1" x14ac:dyDescent="0.3">
      <c r="A45" s="266" t="s">
        <v>73</v>
      </c>
      <c r="B45" s="297">
        <f>(B44/B43)*(B42/B41)*(B40/B39)*(B38/B37)*B36</f>
        <v>250</v>
      </c>
      <c r="C45" s="294" t="s">
        <v>74</v>
      </c>
      <c r="D45" s="298">
        <f>D44*$B$30/100</f>
        <v>14.691559999999999</v>
      </c>
      <c r="E45" s="299"/>
      <c r="F45" s="298">
        <f>F44*$B$30/100</f>
        <v>16.450199999999999</v>
      </c>
      <c r="H45" s="291"/>
    </row>
    <row r="46" spans="1:14" ht="19.5" customHeight="1" x14ac:dyDescent="0.3">
      <c r="A46" s="626" t="s">
        <v>75</v>
      </c>
      <c r="B46" s="627"/>
      <c r="C46" s="294" t="s">
        <v>76</v>
      </c>
      <c r="D46" s="300">
        <f>D45/$B$45</f>
        <v>5.8766239999999997E-2</v>
      </c>
      <c r="E46" s="301"/>
      <c r="F46" s="302">
        <f>F45/$B$45</f>
        <v>6.5800799999999993E-2</v>
      </c>
      <c r="H46" s="291"/>
    </row>
    <row r="47" spans="1:14" ht="27" customHeight="1" x14ac:dyDescent="0.4">
      <c r="A47" s="628"/>
      <c r="B47" s="629"/>
      <c r="C47" s="303" t="s">
        <v>77</v>
      </c>
      <c r="D47" s="304">
        <v>0.06</v>
      </c>
      <c r="E47" s="305"/>
      <c r="F47" s="301"/>
      <c r="H47" s="291"/>
    </row>
    <row r="48" spans="1:14" ht="18.75" x14ac:dyDescent="0.3">
      <c r="C48" s="306" t="s">
        <v>78</v>
      </c>
      <c r="D48" s="298">
        <f>D47*$B$45</f>
        <v>15</v>
      </c>
      <c r="F48" s="307"/>
      <c r="H48" s="291"/>
    </row>
    <row r="49" spans="1:12" ht="19.5" customHeight="1" x14ac:dyDescent="0.3">
      <c r="C49" s="308" t="s">
        <v>79</v>
      </c>
      <c r="D49" s="309">
        <f>D48/B34</f>
        <v>15</v>
      </c>
      <c r="F49" s="307"/>
      <c r="H49" s="291"/>
    </row>
    <row r="50" spans="1:12" ht="18.75" x14ac:dyDescent="0.3">
      <c r="C50" s="264" t="s">
        <v>80</v>
      </c>
      <c r="D50" s="310">
        <f>AVERAGE(E38:E41,G38:G41)</f>
        <v>12593813.322653182</v>
      </c>
      <c r="F50" s="311"/>
      <c r="H50" s="291"/>
    </row>
    <row r="51" spans="1:12" ht="18.75" x14ac:dyDescent="0.3">
      <c r="C51" s="266" t="s">
        <v>81</v>
      </c>
      <c r="D51" s="312">
        <f>STDEV(E38:E41,G38:G41)/D50</f>
        <v>4.7285871472475278E-3</v>
      </c>
      <c r="F51" s="311"/>
      <c r="H51" s="291"/>
    </row>
    <row r="52" spans="1:12" ht="19.5" customHeight="1" x14ac:dyDescent="0.3">
      <c r="C52" s="313" t="s">
        <v>17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82</v>
      </c>
    </row>
    <row r="55" spans="1:12" ht="18.75" x14ac:dyDescent="0.3">
      <c r="A55" s="241" t="s">
        <v>83</v>
      </c>
      <c r="B55" s="31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8" t="s">
        <v>84</v>
      </c>
      <c r="B56" s="319">
        <v>300</v>
      </c>
      <c r="C56" s="241" t="str">
        <f>B20</f>
        <v>Efavirenz 600mg, Lamivudine 300mg and Tenofovir Disoproxil Fumarate 300mg Tablets</v>
      </c>
      <c r="H56" s="320"/>
    </row>
    <row r="57" spans="1:12" ht="18.75" x14ac:dyDescent="0.3">
      <c r="A57" s="317" t="s">
        <v>85</v>
      </c>
      <c r="B57" s="409">
        <f>Uniformity!C46</f>
        <v>1904.2365000000002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4" t="s">
        <v>86</v>
      </c>
      <c r="B59" s="265">
        <v>200</v>
      </c>
      <c r="C59" s="241"/>
      <c r="D59" s="321" t="s">
        <v>87</v>
      </c>
      <c r="E59" s="322" t="s">
        <v>59</v>
      </c>
      <c r="F59" s="322" t="s">
        <v>60</v>
      </c>
      <c r="G59" s="322" t="s">
        <v>88</v>
      </c>
      <c r="H59" s="268" t="s">
        <v>89</v>
      </c>
      <c r="L59" s="254"/>
    </row>
    <row r="60" spans="1:12" s="14" customFormat="1" ht="26.25" customHeight="1" x14ac:dyDescent="0.4">
      <c r="A60" s="266" t="s">
        <v>90</v>
      </c>
      <c r="B60" s="267">
        <v>4</v>
      </c>
      <c r="C60" s="630" t="s">
        <v>91</v>
      </c>
      <c r="D60" s="633">
        <v>1903.83</v>
      </c>
      <c r="E60" s="323">
        <v>1</v>
      </c>
      <c r="F60" s="324">
        <v>12551317</v>
      </c>
      <c r="G60" s="410">
        <f>IF(ISBLANK(F60),"-",(F60/$D$50*$D$47*$B$68)*($B$57/$D$60))</f>
        <v>299.05152468414269</v>
      </c>
      <c r="H60" s="325">
        <f t="shared" ref="H60:H71" si="0">IF(ISBLANK(F60),"-",G60/$B$56)</f>
        <v>0.99683841561380893</v>
      </c>
      <c r="L60" s="254"/>
    </row>
    <row r="61" spans="1:12" s="14" customFormat="1" ht="26.25" customHeight="1" x14ac:dyDescent="0.4">
      <c r="A61" s="266" t="s">
        <v>92</v>
      </c>
      <c r="B61" s="267">
        <v>100</v>
      </c>
      <c r="C61" s="631"/>
      <c r="D61" s="634"/>
      <c r="E61" s="326">
        <v>2</v>
      </c>
      <c r="F61" s="278">
        <v>12533333</v>
      </c>
      <c r="G61" s="411">
        <f>IF(ISBLANK(F61),"-",(F61/$D$50*$D$47*$B$68)*($B$57/$D$60))</f>
        <v>298.62303238967519</v>
      </c>
      <c r="H61" s="327">
        <f t="shared" si="0"/>
        <v>0.99541010796558393</v>
      </c>
      <c r="L61" s="254"/>
    </row>
    <row r="62" spans="1:12" s="14" customFormat="1" ht="26.25" customHeight="1" x14ac:dyDescent="0.4">
      <c r="A62" s="266" t="s">
        <v>93</v>
      </c>
      <c r="B62" s="267">
        <v>1</v>
      </c>
      <c r="C62" s="631"/>
      <c r="D62" s="634"/>
      <c r="E62" s="326">
        <v>3</v>
      </c>
      <c r="F62" s="328">
        <v>12607025</v>
      </c>
      <c r="G62" s="411">
        <f>IF(ISBLANK(F62),"-",(F62/$D$50*$D$47*$B$68)*($B$57/$D$60))</f>
        <v>300.37884056160038</v>
      </c>
      <c r="H62" s="327">
        <f t="shared" si="0"/>
        <v>1.0012628018720013</v>
      </c>
      <c r="L62" s="254"/>
    </row>
    <row r="63" spans="1:12" ht="27" customHeight="1" x14ac:dyDescent="0.4">
      <c r="A63" s="266" t="s">
        <v>94</v>
      </c>
      <c r="B63" s="267">
        <v>1</v>
      </c>
      <c r="C63" s="632"/>
      <c r="D63" s="635"/>
      <c r="E63" s="329">
        <v>4</v>
      </c>
      <c r="F63" s="330"/>
      <c r="G63" s="411" t="str">
        <f>IF(ISBLANK(F63),"-",(F63/$D$50*$D$47*$B$68)*($B$57/$D$60))</f>
        <v>-</v>
      </c>
      <c r="H63" s="327" t="str">
        <f t="shared" si="0"/>
        <v>-</v>
      </c>
    </row>
    <row r="64" spans="1:12" ht="26.25" customHeight="1" x14ac:dyDescent="0.4">
      <c r="A64" s="266" t="s">
        <v>95</v>
      </c>
      <c r="B64" s="267">
        <v>1</v>
      </c>
      <c r="C64" s="630" t="s">
        <v>96</v>
      </c>
      <c r="D64" s="633">
        <v>1902.98</v>
      </c>
      <c r="E64" s="323">
        <v>1</v>
      </c>
      <c r="F64" s="324">
        <v>11992800</v>
      </c>
      <c r="G64" s="412">
        <f>IF(ISBLANK(F64),"-",(F64/$D$50*$D$47*$B$68)*($B$57/$D$64))</f>
        <v>285.87176022456288</v>
      </c>
      <c r="H64" s="331">
        <f t="shared" si="0"/>
        <v>0.95290586741520955</v>
      </c>
    </row>
    <row r="65" spans="1:8" ht="26.25" customHeight="1" x14ac:dyDescent="0.4">
      <c r="A65" s="266" t="s">
        <v>97</v>
      </c>
      <c r="B65" s="267">
        <v>1</v>
      </c>
      <c r="C65" s="631"/>
      <c r="D65" s="634"/>
      <c r="E65" s="326">
        <v>2</v>
      </c>
      <c r="F65" s="278">
        <v>12039426</v>
      </c>
      <c r="G65" s="413">
        <f>IF(ISBLANK(F65),"-",(F65/$D$50*$D$47*$B$68)*($B$57/$D$64))</f>
        <v>286.98318180186186</v>
      </c>
      <c r="H65" s="332">
        <f t="shared" si="0"/>
        <v>0.95661060600620618</v>
      </c>
    </row>
    <row r="66" spans="1:8" ht="26.25" customHeight="1" x14ac:dyDescent="0.4">
      <c r="A66" s="266" t="s">
        <v>98</v>
      </c>
      <c r="B66" s="267">
        <v>1</v>
      </c>
      <c r="C66" s="631"/>
      <c r="D66" s="634"/>
      <c r="E66" s="326">
        <v>3</v>
      </c>
      <c r="F66" s="278">
        <v>12041903</v>
      </c>
      <c r="G66" s="413">
        <f>IF(ISBLANK(F66),"-",(F66/$D$50*$D$47*$B$68)*($B$57/$D$64))</f>
        <v>287.04222592417489</v>
      </c>
      <c r="H66" s="332">
        <f t="shared" si="0"/>
        <v>0.95680741974724959</v>
      </c>
    </row>
    <row r="67" spans="1:8" ht="27" customHeight="1" x14ac:dyDescent="0.4">
      <c r="A67" s="266" t="s">
        <v>99</v>
      </c>
      <c r="B67" s="267">
        <v>1</v>
      </c>
      <c r="C67" s="632"/>
      <c r="D67" s="635"/>
      <c r="E67" s="329">
        <v>4</v>
      </c>
      <c r="F67" s="330"/>
      <c r="G67" s="414" t="str">
        <f>IF(ISBLANK(F67),"-",(F67/$D$50*$D$47*$B$68)*($B$57/$D$64))</f>
        <v>-</v>
      </c>
      <c r="H67" s="333" t="str">
        <f t="shared" si="0"/>
        <v>-</v>
      </c>
    </row>
    <row r="68" spans="1:8" ht="26.25" customHeight="1" x14ac:dyDescent="0.4">
      <c r="A68" s="266" t="s">
        <v>100</v>
      </c>
      <c r="B68" s="334">
        <f>(B67/B66)*(B65/B64)*(B63/B62)*(B61/B60)*B59</f>
        <v>5000</v>
      </c>
      <c r="C68" s="630" t="s">
        <v>101</v>
      </c>
      <c r="D68" s="633">
        <v>1906.76</v>
      </c>
      <c r="E68" s="323">
        <v>1</v>
      </c>
      <c r="F68" s="324">
        <v>12256404</v>
      </c>
      <c r="G68" s="412">
        <f>IF(ISBLANK(F68),"-",(F68/$D$50*$D$47*$B$68)*($B$57/$D$68))</f>
        <v>291.57610070078607</v>
      </c>
      <c r="H68" s="327">
        <f t="shared" si="0"/>
        <v>0.97192033566928693</v>
      </c>
    </row>
    <row r="69" spans="1:8" ht="27" customHeight="1" x14ac:dyDescent="0.4">
      <c r="A69" s="313" t="s">
        <v>102</v>
      </c>
      <c r="B69" s="335">
        <f>(D47*B68)/B56*B57</f>
        <v>1904.2365000000002</v>
      </c>
      <c r="C69" s="631"/>
      <c r="D69" s="634"/>
      <c r="E69" s="326">
        <v>2</v>
      </c>
      <c r="F69" s="278">
        <v>12308535</v>
      </c>
      <c r="G69" s="413">
        <f>IF(ISBLANK(F69),"-",(F69/$D$50*$D$47*$B$68)*($B$57/$D$68))</f>
        <v>292.81628123870183</v>
      </c>
      <c r="H69" s="327">
        <f t="shared" si="0"/>
        <v>0.97605427079567275</v>
      </c>
    </row>
    <row r="70" spans="1:8" ht="26.25" customHeight="1" x14ac:dyDescent="0.4">
      <c r="A70" s="643" t="s">
        <v>75</v>
      </c>
      <c r="B70" s="644"/>
      <c r="C70" s="631"/>
      <c r="D70" s="634"/>
      <c r="E70" s="326">
        <v>3</v>
      </c>
      <c r="F70" s="278">
        <v>12228976</v>
      </c>
      <c r="G70" s="413">
        <f>IF(ISBLANK(F70),"-",(F70/$D$50*$D$47*$B$68)*($B$57/$D$68))</f>
        <v>290.92359697375315</v>
      </c>
      <c r="H70" s="327">
        <f t="shared" si="0"/>
        <v>0.96974532324584384</v>
      </c>
    </row>
    <row r="71" spans="1:8" ht="27" customHeight="1" x14ac:dyDescent="0.4">
      <c r="A71" s="645"/>
      <c r="B71" s="646"/>
      <c r="C71" s="642"/>
      <c r="D71" s="635"/>
      <c r="E71" s="329">
        <v>4</v>
      </c>
      <c r="F71" s="330"/>
      <c r="G71" s="414" t="str">
        <f>IF(ISBLANK(F71),"-",(F71/$D$50*$D$47*$B$68)*($B$57/$D$68))</f>
        <v>-</v>
      </c>
      <c r="H71" s="336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39" t="s">
        <v>68</v>
      </c>
      <c r="G72" s="419">
        <f>AVERAGE(G60:G71)</f>
        <v>292.58517161102878</v>
      </c>
      <c r="H72" s="340">
        <f>AVERAGE(H60:H71)</f>
        <v>0.9752839053700959</v>
      </c>
    </row>
    <row r="73" spans="1:8" ht="26.25" customHeight="1" x14ac:dyDescent="0.4">
      <c r="C73" s="337"/>
      <c r="D73" s="337"/>
      <c r="E73" s="337"/>
      <c r="F73" s="341" t="s">
        <v>81</v>
      </c>
      <c r="G73" s="415">
        <f>STDEV(G60:G71)/G72</f>
        <v>1.9106879773212893E-2</v>
      </c>
      <c r="H73" s="415">
        <f>STDEV(H60:H71)/H72</f>
        <v>1.9106879773212911E-2</v>
      </c>
    </row>
    <row r="74" spans="1:8" ht="27" customHeight="1" x14ac:dyDescent="0.4">
      <c r="A74" s="337"/>
      <c r="B74" s="337"/>
      <c r="C74" s="338"/>
      <c r="D74" s="338"/>
      <c r="E74" s="342"/>
      <c r="F74" s="343" t="s">
        <v>17</v>
      </c>
      <c r="G74" s="344">
        <f>COUNT(G60:G71)</f>
        <v>9</v>
      </c>
      <c r="H74" s="344">
        <f>COUNT(H60:H71)</f>
        <v>9</v>
      </c>
    </row>
    <row r="76" spans="1:8" ht="26.25" customHeight="1" x14ac:dyDescent="0.4">
      <c r="A76" s="250" t="s">
        <v>103</v>
      </c>
      <c r="B76" s="345" t="s">
        <v>104</v>
      </c>
      <c r="C76" s="638" t="str">
        <f>B20</f>
        <v>Efavirenz 600mg, Lamivudine 300mg and Tenofovir Disoproxil Fumarate 300mg Tablets</v>
      </c>
      <c r="D76" s="638"/>
      <c r="E76" s="346" t="s">
        <v>105</v>
      </c>
      <c r="F76" s="346"/>
      <c r="G76" s="347">
        <f>H72</f>
        <v>0.9752839053700959</v>
      </c>
      <c r="H76" s="348"/>
    </row>
    <row r="77" spans="1:8" ht="18.75" x14ac:dyDescent="0.3">
      <c r="A77" s="249" t="s">
        <v>106</v>
      </c>
      <c r="B77" s="249" t="s">
        <v>107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624" t="str">
        <f>B26</f>
        <v>Tenofovir Disoproxil Fumarate</v>
      </c>
      <c r="C79" s="624"/>
    </row>
    <row r="80" spans="1:8" ht="26.25" customHeight="1" x14ac:dyDescent="0.4">
      <c r="A80" s="251" t="s">
        <v>45</v>
      </c>
      <c r="B80" s="624" t="str">
        <f>B27</f>
        <v>T11-6</v>
      </c>
      <c r="C80" s="624"/>
    </row>
    <row r="81" spans="1:12" ht="27" customHeight="1" x14ac:dyDescent="0.4">
      <c r="A81" s="251" t="s">
        <v>6</v>
      </c>
      <c r="B81" s="349">
        <f>B28</f>
        <v>98.8</v>
      </c>
    </row>
    <row r="82" spans="1:12" s="14" customFormat="1" ht="27" customHeight="1" x14ac:dyDescent="0.4">
      <c r="A82" s="251" t="s">
        <v>46</v>
      </c>
      <c r="B82" s="253">
        <v>0</v>
      </c>
      <c r="C82" s="615" t="s">
        <v>47</v>
      </c>
      <c r="D82" s="616"/>
      <c r="E82" s="616"/>
      <c r="F82" s="616"/>
      <c r="G82" s="617"/>
      <c r="I82" s="254"/>
      <c r="J82" s="254"/>
      <c r="K82" s="254"/>
      <c r="L82" s="254"/>
    </row>
    <row r="83" spans="1:12" s="14" customFormat="1" ht="19.5" customHeight="1" x14ac:dyDescent="0.3">
      <c r="A83" s="251" t="s">
        <v>48</v>
      </c>
      <c r="B83" s="255">
        <f>B81-B82</f>
        <v>98.8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49</v>
      </c>
      <c r="B84" s="258">
        <v>1</v>
      </c>
      <c r="C84" s="618" t="s">
        <v>108</v>
      </c>
      <c r="D84" s="619"/>
      <c r="E84" s="619"/>
      <c r="F84" s="619"/>
      <c r="G84" s="619"/>
      <c r="H84" s="620"/>
      <c r="I84" s="254"/>
      <c r="J84" s="254"/>
      <c r="K84" s="254"/>
      <c r="L84" s="254"/>
    </row>
    <row r="85" spans="1:12" s="14" customFormat="1" ht="27" customHeight="1" x14ac:dyDescent="0.4">
      <c r="A85" s="251" t="s">
        <v>51</v>
      </c>
      <c r="B85" s="258">
        <v>1</v>
      </c>
      <c r="C85" s="618" t="s">
        <v>109</v>
      </c>
      <c r="D85" s="619"/>
      <c r="E85" s="619"/>
      <c r="F85" s="619"/>
      <c r="G85" s="619"/>
      <c r="H85" s="620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53</v>
      </c>
      <c r="B87" s="263">
        <f>B84/B85</f>
        <v>1</v>
      </c>
      <c r="C87" s="241" t="s">
        <v>54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55</v>
      </c>
      <c r="B89" s="265">
        <v>25</v>
      </c>
      <c r="D89" s="350" t="s">
        <v>56</v>
      </c>
      <c r="E89" s="351"/>
      <c r="F89" s="621" t="s">
        <v>57</v>
      </c>
      <c r="G89" s="623"/>
    </row>
    <row r="90" spans="1:12" ht="27" customHeight="1" x14ac:dyDescent="0.4">
      <c r="A90" s="266" t="s">
        <v>58</v>
      </c>
      <c r="B90" s="267">
        <v>10</v>
      </c>
      <c r="C90" s="352" t="s">
        <v>59</v>
      </c>
      <c r="D90" s="269" t="s">
        <v>60</v>
      </c>
      <c r="E90" s="270" t="s">
        <v>61</v>
      </c>
      <c r="F90" s="269" t="s">
        <v>60</v>
      </c>
      <c r="G90" s="353" t="s">
        <v>61</v>
      </c>
      <c r="I90" s="272" t="s">
        <v>62</v>
      </c>
    </row>
    <row r="91" spans="1:12" ht="26.25" customHeight="1" x14ac:dyDescent="0.4">
      <c r="A91" s="266" t="s">
        <v>63</v>
      </c>
      <c r="B91" s="267">
        <v>20</v>
      </c>
      <c r="C91" s="354">
        <v>1</v>
      </c>
      <c r="D91" s="653">
        <v>68567876</v>
      </c>
      <c r="E91" s="274">
        <f>IF(ISBLANK(D91),"-",$D$101/$D$98*D91)</f>
        <v>60700306.889673166</v>
      </c>
      <c r="F91" s="653">
        <v>66753082</v>
      </c>
      <c r="G91" s="275">
        <f>IF(ISBLANK(F91),"-",$D$101/$F$98*F91)</f>
        <v>60613500.159812495</v>
      </c>
      <c r="I91" s="276"/>
    </row>
    <row r="92" spans="1:12" ht="26.25" customHeight="1" x14ac:dyDescent="0.4">
      <c r="A92" s="266" t="s">
        <v>64</v>
      </c>
      <c r="B92" s="267">
        <v>1</v>
      </c>
      <c r="C92" s="338">
        <v>2</v>
      </c>
      <c r="D92" s="654">
        <v>68622588</v>
      </c>
      <c r="E92" s="279">
        <f>IF(ISBLANK(D92),"-",$D$101/$D$98*D92)</f>
        <v>60748741.162167594</v>
      </c>
      <c r="F92" s="654">
        <v>66866342</v>
      </c>
      <c r="G92" s="280">
        <f>IF(ISBLANK(F92),"-",$D$101/$F$98*F92)</f>
        <v>60716343.127094515</v>
      </c>
      <c r="I92" s="625">
        <f>ABS((F96/D96*D95)-F95)/D95</f>
        <v>7.8818996720196209E-5</v>
      </c>
    </row>
    <row r="93" spans="1:12" ht="26.25" customHeight="1" x14ac:dyDescent="0.4">
      <c r="A93" s="266" t="s">
        <v>65</v>
      </c>
      <c r="B93" s="267">
        <v>1</v>
      </c>
      <c r="C93" s="338">
        <v>3</v>
      </c>
      <c r="D93" s="654">
        <v>68559442</v>
      </c>
      <c r="E93" s="279">
        <f>IF(ISBLANK(D93),"-",$D$101/$D$98*D93)</f>
        <v>60692840.618028596</v>
      </c>
      <c r="F93" s="654">
        <v>66955521</v>
      </c>
      <c r="G93" s="280">
        <f>IF(ISBLANK(F93),"-",$D$101/$F$98*F93)</f>
        <v>60797319.93249134</v>
      </c>
      <c r="I93" s="625"/>
    </row>
    <row r="94" spans="1:12" ht="27" customHeight="1" x14ac:dyDescent="0.4">
      <c r="A94" s="266" t="s">
        <v>66</v>
      </c>
      <c r="B94" s="267">
        <v>1</v>
      </c>
      <c r="C94" s="355">
        <v>4</v>
      </c>
      <c r="D94" s="283"/>
      <c r="E94" s="284" t="str">
        <f>IF(ISBLANK(D94),"-",$D$101/$D$98*D94)</f>
        <v>-</v>
      </c>
      <c r="F94" s="356"/>
      <c r="G94" s="285" t="str">
        <f>IF(ISBLANK(F94),"-",$D$101/$F$98*F94)</f>
        <v>-</v>
      </c>
      <c r="I94" s="286"/>
    </row>
    <row r="95" spans="1:12" ht="27" customHeight="1" x14ac:dyDescent="0.4">
      <c r="A95" s="266" t="s">
        <v>67</v>
      </c>
      <c r="B95" s="267">
        <v>1</v>
      </c>
      <c r="C95" s="357" t="s">
        <v>68</v>
      </c>
      <c r="D95" s="358">
        <f>AVERAGE(D91:D94)</f>
        <v>68583302</v>
      </c>
      <c r="E95" s="289">
        <f>AVERAGE(E91:E94)</f>
        <v>60713962.889956452</v>
      </c>
      <c r="F95" s="359">
        <f>AVERAGE(F91:F94)</f>
        <v>66858315</v>
      </c>
      <c r="G95" s="360">
        <f>AVERAGE(G91:G94)</f>
        <v>60709054.406466119</v>
      </c>
    </row>
    <row r="96" spans="1:12" ht="26.25" customHeight="1" x14ac:dyDescent="0.4">
      <c r="A96" s="266" t="s">
        <v>69</v>
      </c>
      <c r="B96" s="252">
        <v>1</v>
      </c>
      <c r="C96" s="361" t="s">
        <v>110</v>
      </c>
      <c r="D96" s="362">
        <v>17.149999999999999</v>
      </c>
      <c r="E96" s="281"/>
      <c r="F96" s="293">
        <v>16.72</v>
      </c>
    </row>
    <row r="97" spans="1:10" ht="26.25" customHeight="1" x14ac:dyDescent="0.4">
      <c r="A97" s="266" t="s">
        <v>71</v>
      </c>
      <c r="B97" s="252">
        <v>1</v>
      </c>
      <c r="C97" s="363" t="s">
        <v>111</v>
      </c>
      <c r="D97" s="364">
        <f>D96*$B$87</f>
        <v>17.149999999999999</v>
      </c>
      <c r="E97" s="296"/>
      <c r="F97" s="295">
        <f>F96*$B$87</f>
        <v>16.72</v>
      </c>
    </row>
    <row r="98" spans="1:10" ht="19.5" customHeight="1" x14ac:dyDescent="0.3">
      <c r="A98" s="266" t="s">
        <v>73</v>
      </c>
      <c r="B98" s="365">
        <f>(B97/B96)*(B95/B94)*(B93/B92)*(B91/B90)*B89</f>
        <v>50</v>
      </c>
      <c r="C98" s="363" t="s">
        <v>112</v>
      </c>
      <c r="D98" s="366">
        <f>D97*$B$83/100</f>
        <v>16.944199999999999</v>
      </c>
      <c r="E98" s="299"/>
      <c r="F98" s="298">
        <f>F97*$B$83/100</f>
        <v>16.519359999999999</v>
      </c>
    </row>
    <row r="99" spans="1:10" ht="19.5" customHeight="1" x14ac:dyDescent="0.3">
      <c r="A99" s="626" t="s">
        <v>75</v>
      </c>
      <c r="B99" s="640"/>
      <c r="C99" s="363" t="s">
        <v>113</v>
      </c>
      <c r="D99" s="367">
        <f>D98/$B$98</f>
        <v>0.33888399999999996</v>
      </c>
      <c r="E99" s="299"/>
      <c r="F99" s="302">
        <f>F98/$B$98</f>
        <v>0.33038719999999999</v>
      </c>
      <c r="G99" s="368"/>
      <c r="H99" s="291"/>
    </row>
    <row r="100" spans="1:10" ht="19.5" customHeight="1" x14ac:dyDescent="0.3">
      <c r="A100" s="628"/>
      <c r="B100" s="641"/>
      <c r="C100" s="363" t="s">
        <v>77</v>
      </c>
      <c r="D100" s="369">
        <f>$B$56/$B$116</f>
        <v>0.3</v>
      </c>
      <c r="F100" s="307"/>
      <c r="G100" s="370"/>
      <c r="H100" s="291"/>
    </row>
    <row r="101" spans="1:10" ht="18.75" x14ac:dyDescent="0.3">
      <c r="C101" s="363" t="s">
        <v>78</v>
      </c>
      <c r="D101" s="364">
        <f>D100*$B$98</f>
        <v>15</v>
      </c>
      <c r="F101" s="307"/>
      <c r="G101" s="368"/>
      <c r="H101" s="291"/>
    </row>
    <row r="102" spans="1:10" ht="19.5" customHeight="1" x14ac:dyDescent="0.3">
      <c r="C102" s="371" t="s">
        <v>79</v>
      </c>
      <c r="D102" s="372">
        <f>D101/B34</f>
        <v>15</v>
      </c>
      <c r="F102" s="311"/>
      <c r="G102" s="368"/>
      <c r="H102" s="291"/>
      <c r="J102" s="373"/>
    </row>
    <row r="103" spans="1:10" ht="18.75" x14ac:dyDescent="0.3">
      <c r="C103" s="374" t="s">
        <v>114</v>
      </c>
      <c r="D103" s="375">
        <f>AVERAGE(E91:E94,G91:G94)</f>
        <v>60711508.648211293</v>
      </c>
      <c r="F103" s="311"/>
      <c r="G103" s="376"/>
      <c r="H103" s="291"/>
      <c r="J103" s="377"/>
    </row>
    <row r="104" spans="1:10" ht="18.75" x14ac:dyDescent="0.3">
      <c r="C104" s="341" t="s">
        <v>81</v>
      </c>
      <c r="D104" s="378">
        <f>STDEV(E91:E94,G91:G94)/D103</f>
        <v>1.0114221216488953E-3</v>
      </c>
      <c r="F104" s="311"/>
      <c r="G104" s="368"/>
      <c r="H104" s="291"/>
      <c r="J104" s="377"/>
    </row>
    <row r="105" spans="1:10" ht="19.5" customHeight="1" x14ac:dyDescent="0.3">
      <c r="C105" s="343" t="s">
        <v>17</v>
      </c>
      <c r="D105" s="379">
        <f>COUNT(E91:E94,G91:G94)</f>
        <v>6</v>
      </c>
      <c r="F105" s="311"/>
      <c r="G105" s="368"/>
      <c r="H105" s="291"/>
      <c r="J105" s="377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6.25" customHeight="1" x14ac:dyDescent="0.4">
      <c r="A107" s="264" t="s">
        <v>115</v>
      </c>
      <c r="B107" s="265">
        <v>1000</v>
      </c>
      <c r="C107" s="380" t="s">
        <v>116</v>
      </c>
      <c r="D107" s="381" t="s">
        <v>60</v>
      </c>
      <c r="E107" s="382" t="s">
        <v>117</v>
      </c>
      <c r="F107" s="383" t="s">
        <v>118</v>
      </c>
    </row>
    <row r="108" spans="1:10" ht="26.25" customHeight="1" x14ac:dyDescent="0.4">
      <c r="A108" s="266" t="s">
        <v>119</v>
      </c>
      <c r="B108" s="267">
        <v>1</v>
      </c>
      <c r="C108" s="384">
        <v>1</v>
      </c>
      <c r="D108" s="385">
        <v>58986338</v>
      </c>
      <c r="E108" s="416">
        <f t="shared" ref="E108:E113" si="1">IF(ISBLANK(D108),"-",D108/$D$103*$D$100*$B$116)</f>
        <v>291.47523746342222</v>
      </c>
      <c r="F108" s="386">
        <f t="shared" ref="F108:F113" si="2">IF(ISBLANK(D108), "-", E108/$B$56)</f>
        <v>0.97158412487807411</v>
      </c>
    </row>
    <row r="109" spans="1:10" ht="26.25" customHeight="1" x14ac:dyDescent="0.4">
      <c r="A109" s="266" t="s">
        <v>92</v>
      </c>
      <c r="B109" s="267">
        <v>1</v>
      </c>
      <c r="C109" s="384">
        <v>2</v>
      </c>
      <c r="D109" s="385">
        <v>59116029</v>
      </c>
      <c r="E109" s="417">
        <f t="shared" si="1"/>
        <v>292.11609289374019</v>
      </c>
      <c r="F109" s="387">
        <f t="shared" si="2"/>
        <v>0.97372030964580059</v>
      </c>
    </row>
    <row r="110" spans="1:10" ht="26.25" customHeight="1" x14ac:dyDescent="0.4">
      <c r="A110" s="266" t="s">
        <v>93</v>
      </c>
      <c r="B110" s="267">
        <v>1</v>
      </c>
      <c r="C110" s="384">
        <v>3</v>
      </c>
      <c r="D110" s="385">
        <v>58744192</v>
      </c>
      <c r="E110" s="417">
        <f t="shared" si="1"/>
        <v>290.27869661610237</v>
      </c>
      <c r="F110" s="387">
        <f t="shared" si="2"/>
        <v>0.96759565538700787</v>
      </c>
    </row>
    <row r="111" spans="1:10" ht="26.25" customHeight="1" x14ac:dyDescent="0.4">
      <c r="A111" s="266" t="s">
        <v>94</v>
      </c>
      <c r="B111" s="267">
        <v>1</v>
      </c>
      <c r="C111" s="384">
        <v>4</v>
      </c>
      <c r="D111" s="385">
        <v>58998559</v>
      </c>
      <c r="E111" s="417">
        <f t="shared" si="1"/>
        <v>291.53562634325129</v>
      </c>
      <c r="F111" s="387">
        <f t="shared" si="2"/>
        <v>0.97178542114417099</v>
      </c>
    </row>
    <row r="112" spans="1:10" ht="26.25" customHeight="1" x14ac:dyDescent="0.4">
      <c r="A112" s="266" t="s">
        <v>95</v>
      </c>
      <c r="B112" s="267">
        <v>1</v>
      </c>
      <c r="C112" s="384">
        <v>5</v>
      </c>
      <c r="D112" s="385">
        <v>58833292</v>
      </c>
      <c r="E112" s="417">
        <f t="shared" si="1"/>
        <v>290.71897557795268</v>
      </c>
      <c r="F112" s="387">
        <f t="shared" si="2"/>
        <v>0.96906325192650888</v>
      </c>
    </row>
    <row r="113" spans="1:10" ht="26.25" customHeight="1" x14ac:dyDescent="0.4">
      <c r="A113" s="266" t="s">
        <v>97</v>
      </c>
      <c r="B113" s="267">
        <v>1</v>
      </c>
      <c r="C113" s="388">
        <v>6</v>
      </c>
      <c r="D113" s="389">
        <v>58770477</v>
      </c>
      <c r="E113" s="418">
        <f t="shared" si="1"/>
        <v>290.40858138054944</v>
      </c>
      <c r="F113" s="390">
        <f t="shared" si="2"/>
        <v>0.96802860460183149</v>
      </c>
    </row>
    <row r="114" spans="1:10" ht="26.25" customHeight="1" x14ac:dyDescent="0.4">
      <c r="A114" s="266" t="s">
        <v>98</v>
      </c>
      <c r="B114" s="267">
        <v>1</v>
      </c>
      <c r="C114" s="384"/>
      <c r="D114" s="338"/>
      <c r="E114" s="240"/>
      <c r="F114" s="391"/>
    </row>
    <row r="115" spans="1:10" ht="26.25" customHeight="1" x14ac:dyDescent="0.4">
      <c r="A115" s="266" t="s">
        <v>99</v>
      </c>
      <c r="B115" s="267">
        <v>1</v>
      </c>
      <c r="C115" s="384"/>
      <c r="D115" s="392" t="s">
        <v>68</v>
      </c>
      <c r="E115" s="420">
        <f>AVERAGE(E108:E113)</f>
        <v>291.0888683791697</v>
      </c>
      <c r="F115" s="393">
        <f>AVERAGE(F108:F113)</f>
        <v>0.97029622793056569</v>
      </c>
    </row>
    <row r="116" spans="1:10" ht="27" customHeight="1" x14ac:dyDescent="0.4">
      <c r="A116" s="266" t="s">
        <v>100</v>
      </c>
      <c r="B116" s="297">
        <f>(B115/B114)*(B113/B112)*(B111/B110)*(B109/B108)*B107</f>
        <v>1000</v>
      </c>
      <c r="C116" s="394"/>
      <c r="D116" s="357" t="s">
        <v>81</v>
      </c>
      <c r="E116" s="395">
        <f>STDEV(E108:E113)/E115</f>
        <v>2.5057317227052595E-3</v>
      </c>
      <c r="F116" s="395">
        <f>STDEV(F108:F113)/F115</f>
        <v>2.5057317227052548E-3</v>
      </c>
      <c r="I116" s="240"/>
    </row>
    <row r="117" spans="1:10" ht="27" customHeight="1" x14ac:dyDescent="0.4">
      <c r="A117" s="626" t="s">
        <v>75</v>
      </c>
      <c r="B117" s="627"/>
      <c r="C117" s="396"/>
      <c r="D117" s="397" t="s">
        <v>17</v>
      </c>
      <c r="E117" s="398">
        <f>COUNT(E108:E113)</f>
        <v>6</v>
      </c>
      <c r="F117" s="398">
        <f>COUNT(F108:F113)</f>
        <v>6</v>
      </c>
      <c r="I117" s="240"/>
      <c r="J117" s="377"/>
    </row>
    <row r="118" spans="1:10" ht="19.5" customHeight="1" x14ac:dyDescent="0.3">
      <c r="A118" s="628"/>
      <c r="B118" s="629"/>
      <c r="C118" s="240"/>
      <c r="D118" s="240"/>
      <c r="E118" s="240"/>
      <c r="F118" s="338"/>
      <c r="G118" s="240"/>
      <c r="H118" s="240"/>
      <c r="I118" s="240"/>
    </row>
    <row r="119" spans="1:10" ht="18.75" x14ac:dyDescent="0.3">
      <c r="A119" s="407"/>
      <c r="B119" s="262"/>
      <c r="C119" s="240"/>
      <c r="D119" s="240"/>
      <c r="E119" s="240"/>
      <c r="F119" s="338"/>
      <c r="G119" s="240"/>
      <c r="H119" s="240"/>
      <c r="I119" s="240"/>
    </row>
    <row r="120" spans="1:10" ht="26.25" customHeight="1" x14ac:dyDescent="0.4">
      <c r="A120" s="250" t="s">
        <v>103</v>
      </c>
      <c r="B120" s="345" t="s">
        <v>120</v>
      </c>
      <c r="C120" s="638" t="str">
        <f>B20</f>
        <v>Efavirenz 600mg, Lamivudine 300mg and Tenofovir Disoproxil Fumarate 300mg Tablets</v>
      </c>
      <c r="D120" s="638"/>
      <c r="E120" s="346" t="s">
        <v>121</v>
      </c>
      <c r="F120" s="346"/>
      <c r="G120" s="347">
        <f>F115</f>
        <v>0.97029622793056569</v>
      </c>
      <c r="H120" s="240"/>
      <c r="I120" s="240"/>
    </row>
    <row r="121" spans="1:10" ht="19.5" customHeight="1" x14ac:dyDescent="0.3">
      <c r="A121" s="399"/>
      <c r="B121" s="399"/>
      <c r="C121" s="400"/>
      <c r="D121" s="400"/>
      <c r="E121" s="400"/>
      <c r="F121" s="400"/>
      <c r="G121" s="400"/>
      <c r="H121" s="400"/>
    </row>
    <row r="122" spans="1:10" ht="18.75" x14ac:dyDescent="0.3">
      <c r="B122" s="639" t="s">
        <v>23</v>
      </c>
      <c r="C122" s="639"/>
      <c r="E122" s="352" t="s">
        <v>24</v>
      </c>
      <c r="F122" s="401"/>
      <c r="G122" s="639" t="s">
        <v>25</v>
      </c>
      <c r="H122" s="639"/>
    </row>
    <row r="123" spans="1:10" ht="69.95" customHeight="1" x14ac:dyDescent="0.3">
      <c r="A123" s="402" t="s">
        <v>26</v>
      </c>
      <c r="B123" s="403"/>
      <c r="C123" s="403"/>
      <c r="E123" s="403"/>
      <c r="F123" s="240"/>
      <c r="G123" s="404"/>
      <c r="H123" s="404"/>
    </row>
    <row r="124" spans="1:10" ht="69.95" customHeight="1" x14ac:dyDescent="0.3">
      <c r="A124" s="402" t="s">
        <v>27</v>
      </c>
      <c r="B124" s="405"/>
      <c r="C124" s="405"/>
      <c r="E124" s="405"/>
      <c r="F124" s="240"/>
      <c r="G124" s="406"/>
      <c r="H124" s="406"/>
    </row>
    <row r="125" spans="1:10" ht="18.75" x14ac:dyDescent="0.3">
      <c r="A125" s="337"/>
      <c r="B125" s="337"/>
      <c r="C125" s="338"/>
      <c r="D125" s="338"/>
      <c r="E125" s="338"/>
      <c r="F125" s="342"/>
      <c r="G125" s="338"/>
      <c r="H125" s="338"/>
      <c r="I125" s="240"/>
    </row>
    <row r="126" spans="1:10" ht="18.75" x14ac:dyDescent="0.3">
      <c r="A126" s="337"/>
      <c r="B126" s="337"/>
      <c r="C126" s="338"/>
      <c r="D126" s="338"/>
      <c r="E126" s="338"/>
      <c r="F126" s="342"/>
      <c r="G126" s="338"/>
      <c r="H126" s="338"/>
      <c r="I126" s="240"/>
    </row>
    <row r="127" spans="1:10" ht="18.75" x14ac:dyDescent="0.3">
      <c r="A127" s="337"/>
      <c r="B127" s="337"/>
      <c r="C127" s="338"/>
      <c r="D127" s="338"/>
      <c r="E127" s="338"/>
      <c r="F127" s="342"/>
      <c r="G127" s="338"/>
      <c r="H127" s="338"/>
      <c r="I127" s="240"/>
    </row>
    <row r="128" spans="1:10" ht="18.75" x14ac:dyDescent="0.3">
      <c r="A128" s="337"/>
      <c r="B128" s="337"/>
      <c r="C128" s="338"/>
      <c r="D128" s="338"/>
      <c r="E128" s="338"/>
      <c r="F128" s="342"/>
      <c r="G128" s="338"/>
      <c r="H128" s="338"/>
      <c r="I128" s="240"/>
    </row>
    <row r="129" spans="1:9" ht="18.75" x14ac:dyDescent="0.3">
      <c r="A129" s="337"/>
      <c r="B129" s="337"/>
      <c r="C129" s="338"/>
      <c r="D129" s="338"/>
      <c r="E129" s="338"/>
      <c r="F129" s="342"/>
      <c r="G129" s="338"/>
      <c r="H129" s="338"/>
      <c r="I129" s="240"/>
    </row>
    <row r="130" spans="1:9" ht="18.75" x14ac:dyDescent="0.3">
      <c r="A130" s="337"/>
      <c r="B130" s="337"/>
      <c r="C130" s="338"/>
      <c r="D130" s="338"/>
      <c r="E130" s="338"/>
      <c r="F130" s="342"/>
      <c r="G130" s="338"/>
      <c r="H130" s="338"/>
      <c r="I130" s="240"/>
    </row>
    <row r="131" spans="1:9" ht="18.75" x14ac:dyDescent="0.3">
      <c r="A131" s="337"/>
      <c r="B131" s="337"/>
      <c r="C131" s="338"/>
      <c r="D131" s="338"/>
      <c r="E131" s="338"/>
      <c r="F131" s="342"/>
      <c r="G131" s="338"/>
      <c r="H131" s="338"/>
      <c r="I131" s="240"/>
    </row>
    <row r="132" spans="1:9" ht="18.75" x14ac:dyDescent="0.3">
      <c r="A132" s="337"/>
      <c r="B132" s="337"/>
      <c r="C132" s="338"/>
      <c r="D132" s="338"/>
      <c r="E132" s="338"/>
      <c r="F132" s="342"/>
      <c r="G132" s="338"/>
      <c r="H132" s="338"/>
      <c r="I132" s="240"/>
    </row>
    <row r="133" spans="1:9" ht="18.75" x14ac:dyDescent="0.3">
      <c r="A133" s="337"/>
      <c r="B133" s="337"/>
      <c r="C133" s="338"/>
      <c r="D133" s="338"/>
      <c r="E133" s="338"/>
      <c r="F133" s="342"/>
      <c r="G133" s="338"/>
      <c r="H133" s="338"/>
      <c r="I133" s="24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2" zoomScale="55" zoomScaleNormal="40" zoomScalePageLayoutView="55" workbookViewId="0">
      <selection activeCell="D39" sqref="D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6" t="s">
        <v>42</v>
      </c>
      <c r="B1" s="636"/>
      <c r="C1" s="636"/>
      <c r="D1" s="636"/>
      <c r="E1" s="636"/>
      <c r="F1" s="636"/>
      <c r="G1" s="636"/>
      <c r="H1" s="636"/>
      <c r="I1" s="636"/>
    </row>
    <row r="2" spans="1:9" ht="18.7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</row>
    <row r="3" spans="1:9" ht="18.75" customHeight="1" x14ac:dyDescent="0.25">
      <c r="A3" s="636"/>
      <c r="B3" s="636"/>
      <c r="C3" s="636"/>
      <c r="D3" s="636"/>
      <c r="E3" s="636"/>
      <c r="F3" s="636"/>
      <c r="G3" s="636"/>
      <c r="H3" s="636"/>
      <c r="I3" s="636"/>
    </row>
    <row r="4" spans="1:9" ht="18.75" customHeight="1" x14ac:dyDescent="0.25">
      <c r="A4" s="636"/>
      <c r="B4" s="636"/>
      <c r="C4" s="636"/>
      <c r="D4" s="636"/>
      <c r="E4" s="636"/>
      <c r="F4" s="636"/>
      <c r="G4" s="636"/>
      <c r="H4" s="636"/>
      <c r="I4" s="636"/>
    </row>
    <row r="5" spans="1:9" ht="18.75" customHeight="1" x14ac:dyDescent="0.25">
      <c r="A5" s="636"/>
      <c r="B5" s="636"/>
      <c r="C5" s="636"/>
      <c r="D5" s="636"/>
      <c r="E5" s="636"/>
      <c r="F5" s="636"/>
      <c r="G5" s="636"/>
      <c r="H5" s="636"/>
      <c r="I5" s="636"/>
    </row>
    <row r="6" spans="1:9" ht="18.75" customHeight="1" x14ac:dyDescent="0.25">
      <c r="A6" s="636"/>
      <c r="B6" s="636"/>
      <c r="C6" s="636"/>
      <c r="D6" s="636"/>
      <c r="E6" s="636"/>
      <c r="F6" s="636"/>
      <c r="G6" s="636"/>
      <c r="H6" s="636"/>
      <c r="I6" s="636"/>
    </row>
    <row r="7" spans="1:9" ht="18.75" customHeight="1" x14ac:dyDescent="0.25">
      <c r="A7" s="636"/>
      <c r="B7" s="636"/>
      <c r="C7" s="636"/>
      <c r="D7" s="636"/>
      <c r="E7" s="636"/>
      <c r="F7" s="636"/>
      <c r="G7" s="636"/>
      <c r="H7" s="636"/>
      <c r="I7" s="636"/>
    </row>
    <row r="8" spans="1:9" x14ac:dyDescent="0.25">
      <c r="A8" s="637" t="s">
        <v>43</v>
      </c>
      <c r="B8" s="637"/>
      <c r="C8" s="637"/>
      <c r="D8" s="637"/>
      <c r="E8" s="637"/>
      <c r="F8" s="637"/>
      <c r="G8" s="637"/>
      <c r="H8" s="637"/>
      <c r="I8" s="637"/>
    </row>
    <row r="9" spans="1:9" x14ac:dyDescent="0.25">
      <c r="A9" s="637"/>
      <c r="B9" s="637"/>
      <c r="C9" s="637"/>
      <c r="D9" s="637"/>
      <c r="E9" s="637"/>
      <c r="F9" s="637"/>
      <c r="G9" s="637"/>
      <c r="H9" s="637"/>
      <c r="I9" s="637"/>
    </row>
    <row r="10" spans="1:9" x14ac:dyDescent="0.25">
      <c r="A10" s="637"/>
      <c r="B10" s="637"/>
      <c r="C10" s="637"/>
      <c r="D10" s="637"/>
      <c r="E10" s="637"/>
      <c r="F10" s="637"/>
      <c r="G10" s="637"/>
      <c r="H10" s="637"/>
      <c r="I10" s="637"/>
    </row>
    <row r="11" spans="1:9" x14ac:dyDescent="0.25">
      <c r="A11" s="637"/>
      <c r="B11" s="637"/>
      <c r="C11" s="637"/>
      <c r="D11" s="637"/>
      <c r="E11" s="637"/>
      <c r="F11" s="637"/>
      <c r="G11" s="637"/>
      <c r="H11" s="637"/>
      <c r="I11" s="637"/>
    </row>
    <row r="12" spans="1:9" x14ac:dyDescent="0.25">
      <c r="A12" s="637"/>
      <c r="B12" s="637"/>
      <c r="C12" s="637"/>
      <c r="D12" s="637"/>
      <c r="E12" s="637"/>
      <c r="F12" s="637"/>
      <c r="G12" s="637"/>
      <c r="H12" s="637"/>
      <c r="I12" s="637"/>
    </row>
    <row r="13" spans="1:9" x14ac:dyDescent="0.25">
      <c r="A13" s="637"/>
      <c r="B13" s="637"/>
      <c r="C13" s="637"/>
      <c r="D13" s="637"/>
      <c r="E13" s="637"/>
      <c r="F13" s="637"/>
      <c r="G13" s="637"/>
      <c r="H13" s="637"/>
      <c r="I13" s="637"/>
    </row>
    <row r="14" spans="1:9" x14ac:dyDescent="0.25">
      <c r="A14" s="637"/>
      <c r="B14" s="637"/>
      <c r="C14" s="637"/>
      <c r="D14" s="637"/>
      <c r="E14" s="637"/>
      <c r="F14" s="637"/>
      <c r="G14" s="637"/>
      <c r="H14" s="637"/>
      <c r="I14" s="637"/>
    </row>
    <row r="15" spans="1:9" ht="19.5" customHeight="1" x14ac:dyDescent="0.3">
      <c r="A15" s="422"/>
    </row>
    <row r="16" spans="1:9" ht="19.5" customHeight="1" x14ac:dyDescent="0.3">
      <c r="A16" s="609" t="s">
        <v>28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44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424" t="s">
        <v>30</v>
      </c>
      <c r="B18" s="608" t="s">
        <v>5</v>
      </c>
      <c r="C18" s="608"/>
      <c r="D18" s="591"/>
      <c r="E18" s="425"/>
      <c r="F18" s="426"/>
      <c r="G18" s="426"/>
      <c r="H18" s="426"/>
    </row>
    <row r="19" spans="1:14" ht="26.25" customHeight="1" x14ac:dyDescent="0.4">
      <c r="A19" s="424" t="s">
        <v>31</v>
      </c>
      <c r="B19" s="427" t="s">
        <v>132</v>
      </c>
      <c r="C19" s="604">
        <v>29</v>
      </c>
      <c r="D19" s="426"/>
      <c r="E19" s="426"/>
      <c r="F19" s="426"/>
      <c r="G19" s="426"/>
      <c r="H19" s="426"/>
    </row>
    <row r="20" spans="1:14" ht="26.25" customHeight="1" x14ac:dyDescent="0.4">
      <c r="A20" s="424" t="s">
        <v>32</v>
      </c>
      <c r="B20" s="613" t="s">
        <v>8</v>
      </c>
      <c r="C20" s="613"/>
      <c r="D20" s="426"/>
      <c r="E20" s="426"/>
      <c r="F20" s="426"/>
      <c r="G20" s="426"/>
      <c r="H20" s="426"/>
    </row>
    <row r="21" spans="1:14" ht="26.25" customHeight="1" x14ac:dyDescent="0.4">
      <c r="A21" s="424" t="s">
        <v>33</v>
      </c>
      <c r="B21" s="647" t="s">
        <v>122</v>
      </c>
      <c r="C21" s="647"/>
      <c r="D21" s="647"/>
      <c r="E21" s="647"/>
      <c r="F21" s="647"/>
      <c r="G21" s="647"/>
      <c r="H21" s="647"/>
      <c r="I21" s="428"/>
    </row>
    <row r="22" spans="1:14" ht="26.25" customHeight="1" x14ac:dyDescent="0.4">
      <c r="A22" s="424" t="s">
        <v>34</v>
      </c>
      <c r="B22" s="429">
        <v>42503.536458333336</v>
      </c>
      <c r="C22" s="426"/>
      <c r="D22" s="426"/>
      <c r="E22" s="426"/>
      <c r="F22" s="426"/>
      <c r="G22" s="426"/>
      <c r="H22" s="426"/>
    </row>
    <row r="23" spans="1:14" ht="26.25" customHeight="1" x14ac:dyDescent="0.4">
      <c r="A23" s="424" t="s">
        <v>35</v>
      </c>
      <c r="B23" s="429">
        <v>42510.536458333336</v>
      </c>
      <c r="C23" s="426"/>
      <c r="D23" s="426"/>
      <c r="E23" s="426"/>
      <c r="F23" s="426"/>
      <c r="G23" s="426"/>
      <c r="H23" s="426"/>
    </row>
    <row r="24" spans="1:14" ht="18.75" x14ac:dyDescent="0.3">
      <c r="A24" s="424"/>
      <c r="B24" s="430"/>
    </row>
    <row r="25" spans="1:14" ht="18.75" x14ac:dyDescent="0.3">
      <c r="A25" s="431" t="s">
        <v>1</v>
      </c>
      <c r="B25" s="430"/>
    </row>
    <row r="26" spans="1:14" ht="26.25" customHeight="1" x14ac:dyDescent="0.4">
      <c r="A26" s="432" t="s">
        <v>4</v>
      </c>
      <c r="B26" s="608" t="s">
        <v>128</v>
      </c>
      <c r="C26" s="608"/>
    </row>
    <row r="27" spans="1:14" ht="26.25" customHeight="1" x14ac:dyDescent="0.4">
      <c r="A27" s="433" t="s">
        <v>45</v>
      </c>
      <c r="B27" s="614" t="s">
        <v>129</v>
      </c>
      <c r="C27" s="614"/>
    </row>
    <row r="28" spans="1:14" ht="27" customHeight="1" x14ac:dyDescent="0.4">
      <c r="A28" s="433" t="s">
        <v>6</v>
      </c>
      <c r="B28" s="434">
        <v>99.3</v>
      </c>
    </row>
    <row r="29" spans="1:14" s="14" customFormat="1" ht="27" customHeight="1" x14ac:dyDescent="0.4">
      <c r="A29" s="433" t="s">
        <v>46</v>
      </c>
      <c r="B29" s="435">
        <v>0</v>
      </c>
      <c r="C29" s="615" t="s">
        <v>47</v>
      </c>
      <c r="D29" s="616"/>
      <c r="E29" s="616"/>
      <c r="F29" s="616"/>
      <c r="G29" s="617"/>
      <c r="I29" s="436"/>
      <c r="J29" s="436"/>
      <c r="K29" s="436"/>
      <c r="L29" s="436"/>
    </row>
    <row r="30" spans="1:14" s="14" customFormat="1" ht="19.5" customHeight="1" x14ac:dyDescent="0.3">
      <c r="A30" s="433" t="s">
        <v>48</v>
      </c>
      <c r="B30" s="437">
        <f>B28-B29</f>
        <v>99.3</v>
      </c>
      <c r="C30" s="438"/>
      <c r="D30" s="438"/>
      <c r="E30" s="438"/>
      <c r="F30" s="438"/>
      <c r="G30" s="439"/>
      <c r="I30" s="436"/>
      <c r="J30" s="436"/>
      <c r="K30" s="436"/>
      <c r="L30" s="436"/>
    </row>
    <row r="31" spans="1:14" s="14" customFormat="1" ht="27" customHeight="1" x14ac:dyDescent="0.4">
      <c r="A31" s="433" t="s">
        <v>49</v>
      </c>
      <c r="B31" s="440">
        <v>1</v>
      </c>
      <c r="C31" s="618" t="s">
        <v>50</v>
      </c>
      <c r="D31" s="619"/>
      <c r="E31" s="619"/>
      <c r="F31" s="619"/>
      <c r="G31" s="619"/>
      <c r="H31" s="620"/>
      <c r="I31" s="436"/>
      <c r="J31" s="436"/>
      <c r="K31" s="436"/>
      <c r="L31" s="436"/>
    </row>
    <row r="32" spans="1:14" s="14" customFormat="1" ht="27" customHeight="1" x14ac:dyDescent="0.4">
      <c r="A32" s="433" t="s">
        <v>51</v>
      </c>
      <c r="B32" s="440">
        <v>1</v>
      </c>
      <c r="C32" s="618" t="s">
        <v>52</v>
      </c>
      <c r="D32" s="619"/>
      <c r="E32" s="619"/>
      <c r="F32" s="619"/>
      <c r="G32" s="619"/>
      <c r="H32" s="620"/>
      <c r="I32" s="436"/>
      <c r="J32" s="436"/>
      <c r="K32" s="436"/>
      <c r="L32" s="441"/>
      <c r="M32" s="441"/>
      <c r="N32" s="442"/>
    </row>
    <row r="33" spans="1:14" s="14" customFormat="1" ht="17.25" customHeight="1" x14ac:dyDescent="0.3">
      <c r="A33" s="433"/>
      <c r="B33" s="443"/>
      <c r="C33" s="444"/>
      <c r="D33" s="444"/>
      <c r="E33" s="444"/>
      <c r="F33" s="444"/>
      <c r="G33" s="444"/>
      <c r="H33" s="444"/>
      <c r="I33" s="436"/>
      <c r="J33" s="436"/>
      <c r="K33" s="436"/>
      <c r="L33" s="441"/>
      <c r="M33" s="441"/>
      <c r="N33" s="442"/>
    </row>
    <row r="34" spans="1:14" s="14" customFormat="1" ht="18.75" x14ac:dyDescent="0.3">
      <c r="A34" s="433" t="s">
        <v>53</v>
      </c>
      <c r="B34" s="445">
        <f>B31/B32</f>
        <v>1</v>
      </c>
      <c r="C34" s="423" t="s">
        <v>54</v>
      </c>
      <c r="D34" s="423"/>
      <c r="E34" s="423"/>
      <c r="F34" s="423"/>
      <c r="G34" s="423"/>
      <c r="I34" s="436"/>
      <c r="J34" s="436"/>
      <c r="K34" s="436"/>
      <c r="L34" s="441"/>
      <c r="M34" s="441"/>
      <c r="N34" s="442"/>
    </row>
    <row r="35" spans="1:14" s="14" customFormat="1" ht="19.5" customHeight="1" x14ac:dyDescent="0.3">
      <c r="A35" s="433"/>
      <c r="B35" s="437"/>
      <c r="G35" s="423"/>
      <c r="I35" s="436"/>
      <c r="J35" s="436"/>
      <c r="K35" s="436"/>
      <c r="L35" s="441"/>
      <c r="M35" s="441"/>
      <c r="N35" s="442"/>
    </row>
    <row r="36" spans="1:14" s="14" customFormat="1" ht="27" customHeight="1" x14ac:dyDescent="0.4">
      <c r="A36" s="446" t="s">
        <v>55</v>
      </c>
      <c r="B36" s="447">
        <v>25</v>
      </c>
      <c r="C36" s="423"/>
      <c r="D36" s="621" t="s">
        <v>56</v>
      </c>
      <c r="E36" s="622"/>
      <c r="F36" s="621" t="s">
        <v>57</v>
      </c>
      <c r="G36" s="623"/>
      <c r="J36" s="436"/>
      <c r="K36" s="436"/>
      <c r="L36" s="441"/>
      <c r="M36" s="441"/>
      <c r="N36" s="442"/>
    </row>
    <row r="37" spans="1:14" s="14" customFormat="1" ht="27" customHeight="1" x14ac:dyDescent="0.4">
      <c r="A37" s="448" t="s">
        <v>58</v>
      </c>
      <c r="B37" s="449">
        <v>5</v>
      </c>
      <c r="C37" s="450" t="s">
        <v>59</v>
      </c>
      <c r="D37" s="451" t="s">
        <v>60</v>
      </c>
      <c r="E37" s="452" t="s">
        <v>61</v>
      </c>
      <c r="F37" s="451" t="s">
        <v>60</v>
      </c>
      <c r="G37" s="453" t="s">
        <v>61</v>
      </c>
      <c r="I37" s="454" t="s">
        <v>62</v>
      </c>
      <c r="J37" s="436"/>
      <c r="K37" s="436"/>
      <c r="L37" s="441"/>
      <c r="M37" s="441"/>
      <c r="N37" s="442"/>
    </row>
    <row r="38" spans="1:14" s="14" customFormat="1" ht="26.25" customHeight="1" x14ac:dyDescent="0.4">
      <c r="A38" s="448" t="s">
        <v>63</v>
      </c>
      <c r="B38" s="449">
        <v>50</v>
      </c>
      <c r="C38" s="455">
        <v>1</v>
      </c>
      <c r="D38" s="456">
        <v>45034790</v>
      </c>
      <c r="E38" s="457">
        <f>IF(ISBLANK(D38),"-",$D$48/$D$45*D38)</f>
        <v>46167888.487139873</v>
      </c>
      <c r="F38" s="456">
        <v>48160323</v>
      </c>
      <c r="G38" s="458">
        <f>IF(ISBLANK(F38),"-",$D$48/$F$45*F38)</f>
        <v>45783343.37847627</v>
      </c>
      <c r="I38" s="459"/>
      <c r="J38" s="436"/>
      <c r="K38" s="436"/>
      <c r="L38" s="441"/>
      <c r="M38" s="441"/>
      <c r="N38" s="442"/>
    </row>
    <row r="39" spans="1:14" s="14" customFormat="1" ht="26.25" customHeight="1" x14ac:dyDescent="0.4">
      <c r="A39" s="448" t="s">
        <v>64</v>
      </c>
      <c r="B39" s="449">
        <v>1</v>
      </c>
      <c r="C39" s="460">
        <v>2</v>
      </c>
      <c r="D39" s="461">
        <v>45131929</v>
      </c>
      <c r="E39" s="462">
        <f>IF(ISBLANK(D39),"-",$D$48/$D$45*D39)</f>
        <v>46267471.554358624</v>
      </c>
      <c r="F39" s="461">
        <v>48447515</v>
      </c>
      <c r="G39" s="463">
        <f>IF(ISBLANK(F39),"-",$D$48/$F$45*F39)</f>
        <v>46056360.857024975</v>
      </c>
      <c r="I39" s="625">
        <f>ABS((F43/D43*D42)-F42)/D42</f>
        <v>7.0440491043044446E-3</v>
      </c>
      <c r="J39" s="436"/>
      <c r="K39" s="436"/>
      <c r="L39" s="441"/>
      <c r="M39" s="441"/>
      <c r="N39" s="442"/>
    </row>
    <row r="40" spans="1:14" ht="26.25" customHeight="1" x14ac:dyDescent="0.4">
      <c r="A40" s="448" t="s">
        <v>65</v>
      </c>
      <c r="B40" s="449">
        <v>1</v>
      </c>
      <c r="C40" s="460">
        <v>3</v>
      </c>
      <c r="D40" s="461">
        <v>45144462</v>
      </c>
      <c r="E40" s="462">
        <f>IF(ISBLANK(D40),"-",$D$48/$D$45*D40)</f>
        <v>46280319.891086951</v>
      </c>
      <c r="F40" s="461">
        <v>48356544</v>
      </c>
      <c r="G40" s="463">
        <f>IF(ISBLANK(F40),"-",$D$48/$F$45*F40)</f>
        <v>45969879.781503879</v>
      </c>
      <c r="I40" s="625"/>
      <c r="L40" s="441"/>
      <c r="M40" s="441"/>
      <c r="N40" s="464"/>
    </row>
    <row r="41" spans="1:14" ht="27" customHeight="1" x14ac:dyDescent="0.4">
      <c r="A41" s="448" t="s">
        <v>66</v>
      </c>
      <c r="B41" s="449">
        <v>1</v>
      </c>
      <c r="C41" s="465">
        <v>4</v>
      </c>
      <c r="D41" s="466"/>
      <c r="E41" s="467" t="str">
        <f>IF(ISBLANK(D41),"-",$D$48/$D$45*D41)</f>
        <v>-</v>
      </c>
      <c r="F41" s="466"/>
      <c r="G41" s="468" t="str">
        <f>IF(ISBLANK(F41),"-",$D$48/$F$45*F41)</f>
        <v>-</v>
      </c>
      <c r="I41" s="469"/>
      <c r="L41" s="441"/>
      <c r="M41" s="441"/>
      <c r="N41" s="464"/>
    </row>
    <row r="42" spans="1:14" ht="27" customHeight="1" x14ac:dyDescent="0.4">
      <c r="A42" s="448" t="s">
        <v>67</v>
      </c>
      <c r="B42" s="449">
        <v>1</v>
      </c>
      <c r="C42" s="470" t="s">
        <v>68</v>
      </c>
      <c r="D42" s="471">
        <f>AVERAGE(D38:D41)</f>
        <v>45103727</v>
      </c>
      <c r="E42" s="472">
        <f>AVERAGE(E38:E41)</f>
        <v>46238559.977528483</v>
      </c>
      <c r="F42" s="471">
        <f>AVERAGE(F38:F41)</f>
        <v>48321460.666666664</v>
      </c>
      <c r="G42" s="473">
        <f>AVERAGE(G38:G41)</f>
        <v>45936528.005668372</v>
      </c>
      <c r="H42" s="474"/>
    </row>
    <row r="43" spans="1:14" ht="26.25" customHeight="1" x14ac:dyDescent="0.4">
      <c r="A43" s="448" t="s">
        <v>69</v>
      </c>
      <c r="B43" s="449">
        <v>1</v>
      </c>
      <c r="C43" s="475" t="s">
        <v>70</v>
      </c>
      <c r="D43" s="476">
        <v>29.47</v>
      </c>
      <c r="E43" s="464"/>
      <c r="F43" s="476">
        <v>31.78</v>
      </c>
      <c r="H43" s="474"/>
    </row>
    <row r="44" spans="1:14" ht="26.25" customHeight="1" x14ac:dyDescent="0.4">
      <c r="A44" s="448" t="s">
        <v>71</v>
      </c>
      <c r="B44" s="449">
        <v>1</v>
      </c>
      <c r="C44" s="477" t="s">
        <v>72</v>
      </c>
      <c r="D44" s="478">
        <f>D43*$B$34</f>
        <v>29.47</v>
      </c>
      <c r="E44" s="479"/>
      <c r="F44" s="478">
        <f>F43*$B$34</f>
        <v>31.78</v>
      </c>
      <c r="H44" s="474"/>
    </row>
    <row r="45" spans="1:14" ht="19.5" customHeight="1" x14ac:dyDescent="0.3">
      <c r="A45" s="448" t="s">
        <v>73</v>
      </c>
      <c r="B45" s="480">
        <f>(B44/B43)*(B42/B41)*(B40/B39)*(B38/B37)*B36</f>
        <v>250</v>
      </c>
      <c r="C45" s="477" t="s">
        <v>74</v>
      </c>
      <c r="D45" s="481">
        <f>D44*$B$30/100</f>
        <v>29.263709999999996</v>
      </c>
      <c r="E45" s="482"/>
      <c r="F45" s="481">
        <f>F44*$B$30/100</f>
        <v>31.557539999999999</v>
      </c>
      <c r="H45" s="474"/>
    </row>
    <row r="46" spans="1:14" ht="19.5" customHeight="1" x14ac:dyDescent="0.3">
      <c r="A46" s="626" t="s">
        <v>75</v>
      </c>
      <c r="B46" s="627"/>
      <c r="C46" s="477" t="s">
        <v>76</v>
      </c>
      <c r="D46" s="483">
        <f>D45/$B$45</f>
        <v>0.11705483999999998</v>
      </c>
      <c r="E46" s="484"/>
      <c r="F46" s="485">
        <f>F45/$B$45</f>
        <v>0.12623016000000001</v>
      </c>
      <c r="H46" s="474"/>
    </row>
    <row r="47" spans="1:14" ht="27" customHeight="1" x14ac:dyDescent="0.4">
      <c r="A47" s="628"/>
      <c r="B47" s="629"/>
      <c r="C47" s="486" t="s">
        <v>77</v>
      </c>
      <c r="D47" s="487">
        <v>0.12</v>
      </c>
      <c r="E47" s="488"/>
      <c r="F47" s="484"/>
      <c r="H47" s="474"/>
    </row>
    <row r="48" spans="1:14" ht="18.75" x14ac:dyDescent="0.3">
      <c r="C48" s="489" t="s">
        <v>78</v>
      </c>
      <c r="D48" s="481">
        <f>D47*$B$45</f>
        <v>30</v>
      </c>
      <c r="F48" s="490"/>
      <c r="H48" s="474"/>
    </row>
    <row r="49" spans="1:12" ht="19.5" customHeight="1" x14ac:dyDescent="0.3">
      <c r="C49" s="491" t="s">
        <v>79</v>
      </c>
      <c r="D49" s="492">
        <f>D48/B34</f>
        <v>30</v>
      </c>
      <c r="F49" s="490"/>
      <c r="H49" s="474"/>
    </row>
    <row r="50" spans="1:12" ht="18.75" x14ac:dyDescent="0.3">
      <c r="C50" s="446" t="s">
        <v>80</v>
      </c>
      <c r="D50" s="493">
        <f>AVERAGE(E38:E41,G38:G41)</f>
        <v>46087543.991598427</v>
      </c>
      <c r="F50" s="494"/>
      <c r="H50" s="474"/>
    </row>
    <row r="51" spans="1:12" ht="18.75" x14ac:dyDescent="0.3">
      <c r="C51" s="448" t="s">
        <v>81</v>
      </c>
      <c r="D51" s="495">
        <f>STDEV(E38:E41,G38:G41)/D50</f>
        <v>4.1549740302679024E-3</v>
      </c>
      <c r="F51" s="494"/>
      <c r="H51" s="474"/>
    </row>
    <row r="52" spans="1:12" ht="19.5" customHeight="1" x14ac:dyDescent="0.3">
      <c r="C52" s="496" t="s">
        <v>17</v>
      </c>
      <c r="D52" s="497">
        <f>COUNT(E38:E41,G38:G41)</f>
        <v>6</v>
      </c>
      <c r="F52" s="494"/>
    </row>
    <row r="54" spans="1:12" ht="18.75" x14ac:dyDescent="0.3">
      <c r="A54" s="498" t="s">
        <v>1</v>
      </c>
      <c r="B54" s="499" t="s">
        <v>82</v>
      </c>
    </row>
    <row r="55" spans="1:12" ht="18.75" x14ac:dyDescent="0.3">
      <c r="A55" s="423" t="s">
        <v>83</v>
      </c>
      <c r="B55" s="50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1" t="s">
        <v>84</v>
      </c>
      <c r="B56" s="502">
        <v>600</v>
      </c>
      <c r="C56" s="423" t="str">
        <f>B20</f>
        <v>Tenofovir Disoproxil Fumarate 300mg, Lamivudine 300mg &amp; Efavirenz 600mg tablets</v>
      </c>
      <c r="H56" s="503"/>
    </row>
    <row r="57" spans="1:12" ht="18.75" x14ac:dyDescent="0.3">
      <c r="A57" s="500" t="s">
        <v>85</v>
      </c>
      <c r="B57" s="592">
        <f>Uniformity!C46</f>
        <v>1904.2365000000002</v>
      </c>
      <c r="H57" s="503"/>
    </row>
    <row r="58" spans="1:12" ht="19.5" customHeight="1" x14ac:dyDescent="0.3">
      <c r="H58" s="503"/>
    </row>
    <row r="59" spans="1:12" s="14" customFormat="1" ht="27" customHeight="1" x14ac:dyDescent="0.4">
      <c r="A59" s="446" t="s">
        <v>86</v>
      </c>
      <c r="B59" s="447">
        <v>200</v>
      </c>
      <c r="C59" s="423"/>
      <c r="D59" s="504" t="s">
        <v>87</v>
      </c>
      <c r="E59" s="505" t="s">
        <v>59</v>
      </c>
      <c r="F59" s="505" t="s">
        <v>60</v>
      </c>
      <c r="G59" s="505" t="s">
        <v>88</v>
      </c>
      <c r="H59" s="450" t="s">
        <v>89</v>
      </c>
      <c r="L59" s="436"/>
    </row>
    <row r="60" spans="1:12" s="14" customFormat="1" ht="26.25" customHeight="1" x14ac:dyDescent="0.4">
      <c r="A60" s="448" t="s">
        <v>90</v>
      </c>
      <c r="B60" s="449">
        <v>4</v>
      </c>
      <c r="C60" s="630" t="s">
        <v>91</v>
      </c>
      <c r="D60" s="633">
        <v>1903.85</v>
      </c>
      <c r="E60" s="506">
        <v>1</v>
      </c>
      <c r="F60" s="507">
        <v>45283091</v>
      </c>
      <c r="G60" s="593">
        <f>IF(ISBLANK(F60),"-",(F60/$D$50*$D$47*$B$68)*($B$57/$D$60))</f>
        <v>589.64674595673432</v>
      </c>
      <c r="H60" s="508">
        <f t="shared" ref="H60:H71" si="0">IF(ISBLANK(F60),"-",G60/$B$56)</f>
        <v>0.98274457659455716</v>
      </c>
      <c r="L60" s="436"/>
    </row>
    <row r="61" spans="1:12" s="14" customFormat="1" ht="26.25" customHeight="1" x14ac:dyDescent="0.4">
      <c r="A61" s="448" t="s">
        <v>92</v>
      </c>
      <c r="B61" s="449">
        <v>100</v>
      </c>
      <c r="C61" s="631"/>
      <c r="D61" s="634"/>
      <c r="E61" s="509">
        <v>2</v>
      </c>
      <c r="F61" s="461">
        <v>45284359</v>
      </c>
      <c r="G61" s="594">
        <f>IF(ISBLANK(F61),"-",(F61/$D$50*$D$47*$B$68)*($B$57/$D$60))</f>
        <v>589.66325702206507</v>
      </c>
      <c r="H61" s="510">
        <f t="shared" si="0"/>
        <v>0.9827720950367751</v>
      </c>
      <c r="L61" s="436"/>
    </row>
    <row r="62" spans="1:12" s="14" customFormat="1" ht="26.25" customHeight="1" x14ac:dyDescent="0.4">
      <c r="A62" s="448" t="s">
        <v>93</v>
      </c>
      <c r="B62" s="449">
        <v>1</v>
      </c>
      <c r="C62" s="631"/>
      <c r="D62" s="634"/>
      <c r="E62" s="509">
        <v>3</v>
      </c>
      <c r="F62" s="511">
        <v>45594255</v>
      </c>
      <c r="G62" s="594">
        <f>IF(ISBLANK(F62),"-",(F62/$D$50*$D$47*$B$68)*($B$57/$D$60))</f>
        <v>593.69851972056347</v>
      </c>
      <c r="H62" s="510">
        <f t="shared" si="0"/>
        <v>0.98949753286760578</v>
      </c>
      <c r="L62" s="436"/>
    </row>
    <row r="63" spans="1:12" ht="27" customHeight="1" x14ac:dyDescent="0.4">
      <c r="A63" s="448" t="s">
        <v>94</v>
      </c>
      <c r="B63" s="449">
        <v>1</v>
      </c>
      <c r="C63" s="632"/>
      <c r="D63" s="635"/>
      <c r="E63" s="512">
        <v>4</v>
      </c>
      <c r="F63" s="513"/>
      <c r="G63" s="594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448" t="s">
        <v>95</v>
      </c>
      <c r="B64" s="449">
        <v>1</v>
      </c>
      <c r="C64" s="630" t="s">
        <v>96</v>
      </c>
      <c r="D64" s="633">
        <v>1902.98</v>
      </c>
      <c r="E64" s="506">
        <v>1</v>
      </c>
      <c r="F64" s="507">
        <v>43653804</v>
      </c>
      <c r="G64" s="595">
        <f>IF(ISBLANK(F64),"-",(F64/$D$50*$D$47*$B$68)*($B$57/$D$64))</f>
        <v>568.69111207212586</v>
      </c>
      <c r="H64" s="514">
        <f t="shared" si="0"/>
        <v>0.94781852012020973</v>
      </c>
    </row>
    <row r="65" spans="1:8" ht="26.25" customHeight="1" x14ac:dyDescent="0.4">
      <c r="A65" s="448" t="s">
        <v>97</v>
      </c>
      <c r="B65" s="449">
        <v>1</v>
      </c>
      <c r="C65" s="631"/>
      <c r="D65" s="634"/>
      <c r="E65" s="509">
        <v>2</v>
      </c>
      <c r="F65" s="461">
        <v>43896099</v>
      </c>
      <c r="G65" s="596">
        <f>IF(ISBLANK(F65),"-",(F65/$D$50*$D$47*$B$68)*($B$57/$D$64))</f>
        <v>571.84756123287957</v>
      </c>
      <c r="H65" s="515">
        <f t="shared" si="0"/>
        <v>0.95307926872146598</v>
      </c>
    </row>
    <row r="66" spans="1:8" ht="26.25" customHeight="1" x14ac:dyDescent="0.4">
      <c r="A66" s="448" t="s">
        <v>98</v>
      </c>
      <c r="B66" s="449">
        <v>1</v>
      </c>
      <c r="C66" s="631"/>
      <c r="D66" s="634"/>
      <c r="E66" s="509">
        <v>3</v>
      </c>
      <c r="F66" s="461">
        <v>43950635</v>
      </c>
      <c r="G66" s="596">
        <f>IF(ISBLANK(F66),"-",(F66/$D$50*$D$47*$B$68)*($B$57/$D$64))</f>
        <v>572.55801795477191</v>
      </c>
      <c r="H66" s="515">
        <f t="shared" si="0"/>
        <v>0.95426336325795313</v>
      </c>
    </row>
    <row r="67" spans="1:8" ht="27" customHeight="1" x14ac:dyDescent="0.4">
      <c r="A67" s="448" t="s">
        <v>99</v>
      </c>
      <c r="B67" s="449">
        <v>1</v>
      </c>
      <c r="C67" s="632"/>
      <c r="D67" s="635"/>
      <c r="E67" s="512">
        <v>4</v>
      </c>
      <c r="F67" s="513"/>
      <c r="G67" s="597" t="str">
        <f>IF(ISBLANK(F67),"-",(F67/$D$50*$D$47*$B$68)*($B$57/$D$64))</f>
        <v>-</v>
      </c>
      <c r="H67" s="516" t="str">
        <f t="shared" si="0"/>
        <v>-</v>
      </c>
    </row>
    <row r="68" spans="1:8" ht="26.25" customHeight="1" x14ac:dyDescent="0.4">
      <c r="A68" s="448" t="s">
        <v>100</v>
      </c>
      <c r="B68" s="517">
        <f>(B67/B66)*(B65/B64)*(B63/B62)*(B61/B60)*B59</f>
        <v>5000</v>
      </c>
      <c r="C68" s="630" t="s">
        <v>101</v>
      </c>
      <c r="D68" s="633">
        <v>1906.76</v>
      </c>
      <c r="E68" s="506">
        <v>1</v>
      </c>
      <c r="F68" s="507">
        <v>44281196</v>
      </c>
      <c r="G68" s="595">
        <f>IF(ISBLANK(F68),"-",(F68/$D$50*$D$47*$B$68)*($B$57/$D$68))</f>
        <v>575.72074694925664</v>
      </c>
      <c r="H68" s="510">
        <f t="shared" si="0"/>
        <v>0.95953457824876109</v>
      </c>
    </row>
    <row r="69" spans="1:8" ht="27" customHeight="1" x14ac:dyDescent="0.4">
      <c r="A69" s="496" t="s">
        <v>102</v>
      </c>
      <c r="B69" s="518">
        <f>(D47*B68)/B56*B57</f>
        <v>1904.2365000000002</v>
      </c>
      <c r="C69" s="631"/>
      <c r="D69" s="634"/>
      <c r="E69" s="509">
        <v>2</v>
      </c>
      <c r="F69" s="461">
        <v>44547937</v>
      </c>
      <c r="G69" s="596">
        <f>IF(ISBLANK(F69),"-",(F69/$D$50*$D$47*$B$68)*($B$57/$D$68))</f>
        <v>579.18877269458631</v>
      </c>
      <c r="H69" s="510">
        <f t="shared" si="0"/>
        <v>0.96531462115764388</v>
      </c>
    </row>
    <row r="70" spans="1:8" ht="26.25" customHeight="1" x14ac:dyDescent="0.4">
      <c r="A70" s="643" t="s">
        <v>75</v>
      </c>
      <c r="B70" s="644"/>
      <c r="C70" s="631"/>
      <c r="D70" s="634"/>
      <c r="E70" s="509">
        <v>3</v>
      </c>
      <c r="F70" s="461">
        <v>44323317</v>
      </c>
      <c r="G70" s="596">
        <f>IF(ISBLANK(F70),"-",(F70/$D$50*$D$47*$B$68)*($B$57/$D$68))</f>
        <v>576.2683819675666</v>
      </c>
      <c r="H70" s="510">
        <f t="shared" si="0"/>
        <v>0.96044730327927763</v>
      </c>
    </row>
    <row r="71" spans="1:8" ht="27" customHeight="1" x14ac:dyDescent="0.4">
      <c r="A71" s="645"/>
      <c r="B71" s="646"/>
      <c r="C71" s="642"/>
      <c r="D71" s="635"/>
      <c r="E71" s="512">
        <v>4</v>
      </c>
      <c r="F71" s="513"/>
      <c r="G71" s="597" t="str">
        <f>IF(ISBLANK(F71),"-",(F71/$D$50*$D$47*$B$68)*($B$57/$D$68))</f>
        <v>-</v>
      </c>
      <c r="H71" s="519" t="str">
        <f t="shared" si="0"/>
        <v>-</v>
      </c>
    </row>
    <row r="72" spans="1:8" ht="26.25" customHeight="1" x14ac:dyDescent="0.4">
      <c r="A72" s="520"/>
      <c r="B72" s="520"/>
      <c r="C72" s="520"/>
      <c r="D72" s="520"/>
      <c r="E72" s="520"/>
      <c r="F72" s="522" t="s">
        <v>68</v>
      </c>
      <c r="G72" s="602">
        <f>AVERAGE(G60:G71)</f>
        <v>579.69812395228325</v>
      </c>
      <c r="H72" s="523">
        <f>AVERAGE(H60:H71)</f>
        <v>0.96616353992047221</v>
      </c>
    </row>
    <row r="73" spans="1:8" ht="26.25" customHeight="1" x14ac:dyDescent="0.4">
      <c r="C73" s="520"/>
      <c r="D73" s="520"/>
      <c r="E73" s="520"/>
      <c r="F73" s="524" t="s">
        <v>81</v>
      </c>
      <c r="G73" s="598">
        <f>STDEV(G60:G71)/G72</f>
        <v>1.5619659455490376E-2</v>
      </c>
      <c r="H73" s="598">
        <f>STDEV(H60:H71)/H72</f>
        <v>1.5619659455490372E-2</v>
      </c>
    </row>
    <row r="74" spans="1:8" ht="27" customHeight="1" x14ac:dyDescent="0.4">
      <c r="A74" s="520"/>
      <c r="B74" s="520"/>
      <c r="C74" s="521"/>
      <c r="D74" s="521"/>
      <c r="E74" s="525"/>
      <c r="F74" s="526" t="s">
        <v>17</v>
      </c>
      <c r="G74" s="527">
        <f>COUNT(G60:G71)</f>
        <v>9</v>
      </c>
      <c r="H74" s="527">
        <f>COUNT(H60:H71)</f>
        <v>9</v>
      </c>
    </row>
    <row r="76" spans="1:8" ht="26.25" customHeight="1" x14ac:dyDescent="0.4">
      <c r="A76" s="432" t="s">
        <v>103</v>
      </c>
      <c r="B76" s="528" t="s">
        <v>104</v>
      </c>
      <c r="C76" s="638" t="str">
        <f>B20</f>
        <v>Tenofovir Disoproxil Fumarate 300mg, Lamivudine 300mg &amp; Efavirenz 600mg tablets</v>
      </c>
      <c r="D76" s="638"/>
      <c r="E76" s="529" t="s">
        <v>105</v>
      </c>
      <c r="F76" s="529"/>
      <c r="G76" s="530">
        <f>H72</f>
        <v>0.96616353992047221</v>
      </c>
      <c r="H76" s="531"/>
    </row>
    <row r="77" spans="1:8" ht="18.75" x14ac:dyDescent="0.3">
      <c r="A77" s="431" t="s">
        <v>106</v>
      </c>
      <c r="B77" s="431" t="s">
        <v>107</v>
      </c>
    </row>
    <row r="78" spans="1:8" ht="18.75" x14ac:dyDescent="0.3">
      <c r="A78" s="431"/>
      <c r="B78" s="431"/>
    </row>
    <row r="79" spans="1:8" ht="26.25" customHeight="1" x14ac:dyDescent="0.4">
      <c r="A79" s="432" t="s">
        <v>4</v>
      </c>
      <c r="B79" s="624" t="str">
        <f>B26</f>
        <v>EFAVIRENZ</v>
      </c>
      <c r="C79" s="624"/>
    </row>
    <row r="80" spans="1:8" ht="26.25" customHeight="1" x14ac:dyDescent="0.4">
      <c r="A80" s="433" t="s">
        <v>45</v>
      </c>
      <c r="B80" s="624" t="str">
        <f>B27</f>
        <v>E15-3</v>
      </c>
      <c r="C80" s="624"/>
    </row>
    <row r="81" spans="1:12" ht="27" customHeight="1" x14ac:dyDescent="0.4">
      <c r="A81" s="433" t="s">
        <v>6</v>
      </c>
      <c r="B81" s="532">
        <f>B28</f>
        <v>99.3</v>
      </c>
    </row>
    <row r="82" spans="1:12" s="14" customFormat="1" ht="27" customHeight="1" x14ac:dyDescent="0.4">
      <c r="A82" s="433" t="s">
        <v>46</v>
      </c>
      <c r="B82" s="435">
        <v>0</v>
      </c>
      <c r="C82" s="615" t="s">
        <v>47</v>
      </c>
      <c r="D82" s="616"/>
      <c r="E82" s="616"/>
      <c r="F82" s="616"/>
      <c r="G82" s="617"/>
      <c r="I82" s="436"/>
      <c r="J82" s="436"/>
      <c r="K82" s="436"/>
      <c r="L82" s="436"/>
    </row>
    <row r="83" spans="1:12" s="14" customFormat="1" ht="19.5" customHeight="1" x14ac:dyDescent="0.3">
      <c r="A83" s="433" t="s">
        <v>48</v>
      </c>
      <c r="B83" s="437">
        <f>B81-B82</f>
        <v>99.3</v>
      </c>
      <c r="C83" s="438"/>
      <c r="D83" s="438"/>
      <c r="E83" s="438"/>
      <c r="F83" s="438"/>
      <c r="G83" s="439"/>
      <c r="I83" s="436"/>
      <c r="J83" s="436"/>
      <c r="K83" s="436"/>
      <c r="L83" s="436"/>
    </row>
    <row r="84" spans="1:12" s="14" customFormat="1" ht="27" customHeight="1" x14ac:dyDescent="0.4">
      <c r="A84" s="433" t="s">
        <v>49</v>
      </c>
      <c r="B84" s="440">
        <v>1</v>
      </c>
      <c r="C84" s="618" t="s">
        <v>108</v>
      </c>
      <c r="D84" s="619"/>
      <c r="E84" s="619"/>
      <c r="F84" s="619"/>
      <c r="G84" s="619"/>
      <c r="H84" s="620"/>
      <c r="I84" s="436"/>
      <c r="J84" s="436"/>
      <c r="K84" s="436"/>
      <c r="L84" s="436"/>
    </row>
    <row r="85" spans="1:12" s="14" customFormat="1" ht="27" customHeight="1" x14ac:dyDescent="0.4">
      <c r="A85" s="433" t="s">
        <v>51</v>
      </c>
      <c r="B85" s="440">
        <v>1</v>
      </c>
      <c r="C85" s="618" t="s">
        <v>109</v>
      </c>
      <c r="D85" s="619"/>
      <c r="E85" s="619"/>
      <c r="F85" s="619"/>
      <c r="G85" s="619"/>
      <c r="H85" s="620"/>
      <c r="I85" s="436"/>
      <c r="J85" s="436"/>
      <c r="K85" s="436"/>
      <c r="L85" s="436"/>
    </row>
    <row r="86" spans="1:12" s="14" customFormat="1" ht="18.75" x14ac:dyDescent="0.3">
      <c r="A86" s="433"/>
      <c r="B86" s="443"/>
      <c r="C86" s="444"/>
      <c r="D86" s="444"/>
      <c r="E86" s="444"/>
      <c r="F86" s="444"/>
      <c r="G86" s="444"/>
      <c r="H86" s="444"/>
      <c r="I86" s="436"/>
      <c r="J86" s="436"/>
      <c r="K86" s="436"/>
      <c r="L86" s="436"/>
    </row>
    <row r="87" spans="1:12" s="14" customFormat="1" ht="18.75" x14ac:dyDescent="0.3">
      <c r="A87" s="433" t="s">
        <v>53</v>
      </c>
      <c r="B87" s="445">
        <f>B84/B85</f>
        <v>1</v>
      </c>
      <c r="C87" s="423" t="s">
        <v>54</v>
      </c>
      <c r="D87" s="423"/>
      <c r="E87" s="423"/>
      <c r="F87" s="423"/>
      <c r="G87" s="423"/>
      <c r="I87" s="436"/>
      <c r="J87" s="436"/>
      <c r="K87" s="436"/>
      <c r="L87" s="436"/>
    </row>
    <row r="88" spans="1:12" ht="19.5" customHeight="1" x14ac:dyDescent="0.3">
      <c r="A88" s="431"/>
      <c r="B88" s="431"/>
    </row>
    <row r="89" spans="1:12" ht="27" customHeight="1" x14ac:dyDescent="0.4">
      <c r="A89" s="446" t="s">
        <v>55</v>
      </c>
      <c r="B89" s="447">
        <v>25</v>
      </c>
      <c r="D89" s="533" t="s">
        <v>56</v>
      </c>
      <c r="E89" s="534"/>
      <c r="F89" s="621" t="s">
        <v>57</v>
      </c>
      <c r="G89" s="623"/>
    </row>
    <row r="90" spans="1:12" ht="27" customHeight="1" x14ac:dyDescent="0.4">
      <c r="A90" s="448" t="s">
        <v>58</v>
      </c>
      <c r="B90" s="449">
        <v>10</v>
      </c>
      <c r="C90" s="535" t="s">
        <v>59</v>
      </c>
      <c r="D90" s="451" t="s">
        <v>60</v>
      </c>
      <c r="E90" s="452" t="s">
        <v>61</v>
      </c>
      <c r="F90" s="451" t="s">
        <v>60</v>
      </c>
      <c r="G90" s="536" t="s">
        <v>61</v>
      </c>
      <c r="I90" s="454" t="s">
        <v>62</v>
      </c>
    </row>
    <row r="91" spans="1:12" ht="26.25" customHeight="1" x14ac:dyDescent="0.4">
      <c r="A91" s="448" t="s">
        <v>63</v>
      </c>
      <c r="B91" s="449">
        <v>20</v>
      </c>
      <c r="C91" s="537">
        <v>1</v>
      </c>
      <c r="D91" s="655">
        <v>204719434</v>
      </c>
      <c r="E91" s="457">
        <f>IF(ISBLANK(D91),"-",$D$101/$D$98*D91)</f>
        <v>197916069.12386709</v>
      </c>
      <c r="F91" s="655">
        <v>193181262</v>
      </c>
      <c r="G91" s="458">
        <f>IF(ISBLANK(F91),"-",$D$101/$F$98*F91)</f>
        <v>197305338.17860931</v>
      </c>
      <c r="I91" s="459"/>
    </row>
    <row r="92" spans="1:12" ht="26.25" customHeight="1" x14ac:dyDescent="0.4">
      <c r="A92" s="448" t="s">
        <v>64</v>
      </c>
      <c r="B92" s="449">
        <v>1</v>
      </c>
      <c r="C92" s="521">
        <v>2</v>
      </c>
      <c r="D92" s="656">
        <v>205110967</v>
      </c>
      <c r="E92" s="462">
        <f>IF(ISBLANK(D92),"-",$D$101/$D$98*D92)</f>
        <v>198294590.45317221</v>
      </c>
      <c r="F92" s="656">
        <v>193256501</v>
      </c>
      <c r="G92" s="463">
        <f>IF(ISBLANK(F92),"-",$D$101/$F$98*F92)</f>
        <v>197382183.39737189</v>
      </c>
      <c r="I92" s="625">
        <f>ABS((F96/D96*D95)-F95)/D95</f>
        <v>2.3676881937000696E-3</v>
      </c>
    </row>
    <row r="93" spans="1:12" ht="26.25" customHeight="1" x14ac:dyDescent="0.4">
      <c r="A93" s="448" t="s">
        <v>65</v>
      </c>
      <c r="B93" s="449">
        <v>1</v>
      </c>
      <c r="C93" s="521">
        <v>3</v>
      </c>
      <c r="D93" s="656">
        <v>204527013</v>
      </c>
      <c r="E93" s="462">
        <f>IF(ISBLANK(D93),"-",$D$101/$D$98*D93)</f>
        <v>197730042.7794562</v>
      </c>
      <c r="F93" s="656">
        <v>193633784</v>
      </c>
      <c r="G93" s="463">
        <f>IF(ISBLANK(F93),"-",$D$101/$F$98*F93)</f>
        <v>197767520.71804866</v>
      </c>
      <c r="I93" s="625"/>
    </row>
    <row r="94" spans="1:12" ht="27" customHeight="1" x14ac:dyDescent="0.4">
      <c r="A94" s="448" t="s">
        <v>66</v>
      </c>
      <c r="B94" s="449">
        <v>1</v>
      </c>
      <c r="C94" s="538">
        <v>4</v>
      </c>
      <c r="D94" s="466"/>
      <c r="E94" s="467" t="str">
        <f>IF(ISBLANK(D94),"-",$D$101/$D$98*D94)</f>
        <v>-</v>
      </c>
      <c r="F94" s="539"/>
      <c r="G94" s="468" t="str">
        <f>IF(ISBLANK(F94),"-",$D$101/$F$98*F94)</f>
        <v>-</v>
      </c>
      <c r="I94" s="469"/>
    </row>
    <row r="95" spans="1:12" ht="27" customHeight="1" x14ac:dyDescent="0.4">
      <c r="A95" s="448" t="s">
        <v>67</v>
      </c>
      <c r="B95" s="449">
        <v>1</v>
      </c>
      <c r="C95" s="540" t="s">
        <v>68</v>
      </c>
      <c r="D95" s="541">
        <f>AVERAGE(D91:D94)</f>
        <v>204785804.66666666</v>
      </c>
      <c r="E95" s="472">
        <f>AVERAGE(E91:E94)</f>
        <v>197980234.11883184</v>
      </c>
      <c r="F95" s="542">
        <f>AVERAGE(F91:F94)</f>
        <v>193357182.33333334</v>
      </c>
      <c r="G95" s="543">
        <f>AVERAGE(G91:G94)</f>
        <v>197485014.09800994</v>
      </c>
    </row>
    <row r="96" spans="1:12" ht="26.25" customHeight="1" x14ac:dyDescent="0.4">
      <c r="A96" s="448" t="s">
        <v>69</v>
      </c>
      <c r="B96" s="434">
        <v>1</v>
      </c>
      <c r="C96" s="544" t="s">
        <v>110</v>
      </c>
      <c r="D96" s="545">
        <v>31.25</v>
      </c>
      <c r="E96" s="464"/>
      <c r="F96" s="476">
        <v>29.58</v>
      </c>
    </row>
    <row r="97" spans="1:10" ht="26.25" customHeight="1" x14ac:dyDescent="0.4">
      <c r="A97" s="448" t="s">
        <v>71</v>
      </c>
      <c r="B97" s="434">
        <v>1</v>
      </c>
      <c r="C97" s="546" t="s">
        <v>111</v>
      </c>
      <c r="D97" s="547">
        <f>D96*$B$87</f>
        <v>31.25</v>
      </c>
      <c r="E97" s="479"/>
      <c r="F97" s="478">
        <f>F96*$B$87</f>
        <v>29.58</v>
      </c>
    </row>
    <row r="98" spans="1:10" ht="19.5" customHeight="1" x14ac:dyDescent="0.3">
      <c r="A98" s="448" t="s">
        <v>73</v>
      </c>
      <c r="B98" s="548">
        <f>(B97/B96)*(B95/B94)*(B93/B92)*(B91/B90)*B89</f>
        <v>50</v>
      </c>
      <c r="C98" s="546" t="s">
        <v>112</v>
      </c>
      <c r="D98" s="549">
        <f>D97*$B$83/100</f>
        <v>31.03125</v>
      </c>
      <c r="E98" s="482"/>
      <c r="F98" s="481">
        <f>F97*$B$83/100</f>
        <v>29.37294</v>
      </c>
    </row>
    <row r="99" spans="1:10" ht="19.5" customHeight="1" x14ac:dyDescent="0.3">
      <c r="A99" s="626" t="s">
        <v>75</v>
      </c>
      <c r="B99" s="640"/>
      <c r="C99" s="546" t="s">
        <v>113</v>
      </c>
      <c r="D99" s="550">
        <f>D98/$B$98</f>
        <v>0.62062499999999998</v>
      </c>
      <c r="E99" s="482"/>
      <c r="F99" s="485">
        <f>F98/$B$98</f>
        <v>0.58745879999999995</v>
      </c>
      <c r="G99" s="551"/>
      <c r="H99" s="474"/>
    </row>
    <row r="100" spans="1:10" ht="19.5" customHeight="1" x14ac:dyDescent="0.3">
      <c r="A100" s="628"/>
      <c r="B100" s="641"/>
      <c r="C100" s="546" t="s">
        <v>77</v>
      </c>
      <c r="D100" s="552">
        <f>$B$56/$B$116</f>
        <v>0.6</v>
      </c>
      <c r="F100" s="490"/>
      <c r="G100" s="553"/>
      <c r="H100" s="474"/>
    </row>
    <row r="101" spans="1:10" ht="18.75" x14ac:dyDescent="0.3">
      <c r="C101" s="546" t="s">
        <v>78</v>
      </c>
      <c r="D101" s="547">
        <f>D100*$B$98</f>
        <v>30</v>
      </c>
      <c r="F101" s="490"/>
      <c r="G101" s="551"/>
      <c r="H101" s="474"/>
    </row>
    <row r="102" spans="1:10" ht="19.5" customHeight="1" x14ac:dyDescent="0.3">
      <c r="C102" s="554" t="s">
        <v>79</v>
      </c>
      <c r="D102" s="555">
        <f>D101/B34</f>
        <v>30</v>
      </c>
      <c r="F102" s="494"/>
      <c r="G102" s="551"/>
      <c r="H102" s="474"/>
      <c r="J102" s="556"/>
    </row>
    <row r="103" spans="1:10" ht="18.75" x14ac:dyDescent="0.3">
      <c r="C103" s="557" t="s">
        <v>114</v>
      </c>
      <c r="D103" s="558">
        <f>AVERAGE(E91:E94,G91:G94)</f>
        <v>197732624.10842088</v>
      </c>
      <c r="F103" s="494"/>
      <c r="G103" s="559"/>
      <c r="H103" s="474"/>
      <c r="J103" s="560"/>
    </row>
    <row r="104" spans="1:10" ht="18.75" x14ac:dyDescent="0.3">
      <c r="C104" s="524" t="s">
        <v>81</v>
      </c>
      <c r="D104" s="561">
        <f>STDEV(E91:E94,G91:G94)/D103</f>
        <v>1.8319346777171705E-3</v>
      </c>
      <c r="F104" s="494"/>
      <c r="G104" s="551"/>
      <c r="H104" s="474"/>
      <c r="J104" s="560"/>
    </row>
    <row r="105" spans="1:10" ht="19.5" customHeight="1" x14ac:dyDescent="0.3">
      <c r="C105" s="526" t="s">
        <v>17</v>
      </c>
      <c r="D105" s="562">
        <f>COUNT(E91:E94,G91:G94)</f>
        <v>6</v>
      </c>
      <c r="F105" s="494"/>
      <c r="G105" s="551"/>
      <c r="H105" s="474"/>
      <c r="J105" s="560"/>
    </row>
    <row r="106" spans="1:10" ht="19.5" customHeight="1" x14ac:dyDescent="0.3">
      <c r="A106" s="498"/>
      <c r="B106" s="498"/>
      <c r="C106" s="498"/>
      <c r="D106" s="498"/>
      <c r="E106" s="498"/>
    </row>
    <row r="107" spans="1:10" ht="26.25" customHeight="1" x14ac:dyDescent="0.4">
      <c r="A107" s="446" t="s">
        <v>115</v>
      </c>
      <c r="B107" s="447">
        <v>1000</v>
      </c>
      <c r="C107" s="563" t="s">
        <v>116</v>
      </c>
      <c r="D107" s="564" t="s">
        <v>60</v>
      </c>
      <c r="E107" s="565" t="s">
        <v>117</v>
      </c>
      <c r="F107" s="566" t="s">
        <v>118</v>
      </c>
    </row>
    <row r="108" spans="1:10" ht="26.25" customHeight="1" x14ac:dyDescent="0.4">
      <c r="A108" s="448" t="s">
        <v>119</v>
      </c>
      <c r="B108" s="449">
        <v>1</v>
      </c>
      <c r="C108" s="567">
        <v>1</v>
      </c>
      <c r="D108" s="568">
        <v>195070287</v>
      </c>
      <c r="E108" s="599">
        <f t="shared" ref="E108:E113" si="1">IF(ISBLANK(D108),"-",D108/$D$103*$D$100*$B$116)</f>
        <v>591.9214025897079</v>
      </c>
      <c r="F108" s="569">
        <f t="shared" ref="F108:F113" si="2">IF(ISBLANK(D108), "-", E108/$B$56)</f>
        <v>0.98653567098284645</v>
      </c>
    </row>
    <row r="109" spans="1:10" ht="26.25" customHeight="1" x14ac:dyDescent="0.4">
      <c r="A109" s="448" t="s">
        <v>92</v>
      </c>
      <c r="B109" s="449">
        <v>1</v>
      </c>
      <c r="C109" s="567">
        <v>2</v>
      </c>
      <c r="D109" s="568">
        <v>195291935</v>
      </c>
      <c r="E109" s="600">
        <f t="shared" si="1"/>
        <v>592.593971421481</v>
      </c>
      <c r="F109" s="570">
        <f t="shared" si="2"/>
        <v>0.98765661903580171</v>
      </c>
    </row>
    <row r="110" spans="1:10" ht="26.25" customHeight="1" x14ac:dyDescent="0.4">
      <c r="A110" s="448" t="s">
        <v>93</v>
      </c>
      <c r="B110" s="449">
        <v>1</v>
      </c>
      <c r="C110" s="567">
        <v>3</v>
      </c>
      <c r="D110" s="568">
        <v>193980288</v>
      </c>
      <c r="E110" s="600">
        <f t="shared" si="1"/>
        <v>588.61390893281191</v>
      </c>
      <c r="F110" s="570">
        <f t="shared" si="2"/>
        <v>0.98102318155468649</v>
      </c>
    </row>
    <row r="111" spans="1:10" ht="26.25" customHeight="1" x14ac:dyDescent="0.4">
      <c r="A111" s="448" t="s">
        <v>94</v>
      </c>
      <c r="B111" s="449">
        <v>1</v>
      </c>
      <c r="C111" s="567">
        <v>4</v>
      </c>
      <c r="D111" s="568">
        <v>195018809</v>
      </c>
      <c r="E111" s="600">
        <f t="shared" si="1"/>
        <v>591.76519771385972</v>
      </c>
      <c r="F111" s="570">
        <f t="shared" si="2"/>
        <v>0.98627532952309949</v>
      </c>
    </row>
    <row r="112" spans="1:10" ht="26.25" customHeight="1" x14ac:dyDescent="0.4">
      <c r="A112" s="448" t="s">
        <v>95</v>
      </c>
      <c r="B112" s="449">
        <v>1</v>
      </c>
      <c r="C112" s="567">
        <v>5</v>
      </c>
      <c r="D112" s="568">
        <v>194667887</v>
      </c>
      <c r="E112" s="600">
        <f t="shared" si="1"/>
        <v>590.70035977449913</v>
      </c>
      <c r="F112" s="570">
        <f t="shared" si="2"/>
        <v>0.98450059962416525</v>
      </c>
    </row>
    <row r="113" spans="1:10" ht="26.25" customHeight="1" x14ac:dyDescent="0.4">
      <c r="A113" s="448" t="s">
        <v>97</v>
      </c>
      <c r="B113" s="449">
        <v>1</v>
      </c>
      <c r="C113" s="571">
        <v>6</v>
      </c>
      <c r="D113" s="572">
        <v>194272596</v>
      </c>
      <c r="E113" s="601">
        <f t="shared" si="1"/>
        <v>589.50088851339876</v>
      </c>
      <c r="F113" s="573">
        <f t="shared" si="2"/>
        <v>0.98250148085566458</v>
      </c>
    </row>
    <row r="114" spans="1:10" ht="26.25" customHeight="1" x14ac:dyDescent="0.4">
      <c r="A114" s="448" t="s">
        <v>98</v>
      </c>
      <c r="B114" s="449">
        <v>1</v>
      </c>
      <c r="C114" s="567"/>
      <c r="D114" s="521"/>
      <c r="E114" s="422"/>
      <c r="F114" s="574"/>
    </row>
    <row r="115" spans="1:10" ht="26.25" customHeight="1" x14ac:dyDescent="0.4">
      <c r="A115" s="448" t="s">
        <v>99</v>
      </c>
      <c r="B115" s="449">
        <v>1</v>
      </c>
      <c r="C115" s="567"/>
      <c r="D115" s="575" t="s">
        <v>68</v>
      </c>
      <c r="E115" s="603">
        <f>AVERAGE(E108:E113)</f>
        <v>590.84928815762646</v>
      </c>
      <c r="F115" s="576">
        <f>AVERAGE(F108:F113)</f>
        <v>0.98474881359604405</v>
      </c>
    </row>
    <row r="116" spans="1:10" ht="27" customHeight="1" x14ac:dyDescent="0.4">
      <c r="A116" s="448" t="s">
        <v>100</v>
      </c>
      <c r="B116" s="480">
        <f>(B115/B114)*(B113/B112)*(B111/B110)*(B109/B108)*B107</f>
        <v>1000</v>
      </c>
      <c r="C116" s="577"/>
      <c r="D116" s="540" t="s">
        <v>81</v>
      </c>
      <c r="E116" s="578">
        <f>STDEV(E108:E113)/E115</f>
        <v>2.6076834819576582E-3</v>
      </c>
      <c r="F116" s="578">
        <f>STDEV(F108:F113)/F115</f>
        <v>2.607683481957669E-3</v>
      </c>
      <c r="I116" s="422"/>
    </row>
    <row r="117" spans="1:10" ht="27" customHeight="1" x14ac:dyDescent="0.4">
      <c r="A117" s="626" t="s">
        <v>75</v>
      </c>
      <c r="B117" s="627"/>
      <c r="C117" s="579"/>
      <c r="D117" s="580" t="s">
        <v>17</v>
      </c>
      <c r="E117" s="581">
        <f>COUNT(E108:E113)</f>
        <v>6</v>
      </c>
      <c r="F117" s="581">
        <f>COUNT(F108:F113)</f>
        <v>6</v>
      </c>
      <c r="I117" s="422"/>
      <c r="J117" s="560"/>
    </row>
    <row r="118" spans="1:10" ht="19.5" customHeight="1" x14ac:dyDescent="0.3">
      <c r="A118" s="628"/>
      <c r="B118" s="629"/>
      <c r="C118" s="422"/>
      <c r="D118" s="422"/>
      <c r="E118" s="422"/>
      <c r="F118" s="521"/>
      <c r="G118" s="422"/>
      <c r="H118" s="422"/>
      <c r="I118" s="422"/>
    </row>
    <row r="119" spans="1:10" ht="18.75" x14ac:dyDescent="0.3">
      <c r="A119" s="590"/>
      <c r="B119" s="444"/>
      <c r="C119" s="422"/>
      <c r="D119" s="422"/>
      <c r="E119" s="422"/>
      <c r="F119" s="521"/>
      <c r="G119" s="422"/>
      <c r="H119" s="422"/>
      <c r="I119" s="422"/>
    </row>
    <row r="120" spans="1:10" ht="26.25" customHeight="1" x14ac:dyDescent="0.4">
      <c r="A120" s="432" t="s">
        <v>103</v>
      </c>
      <c r="B120" s="528" t="s">
        <v>120</v>
      </c>
      <c r="C120" s="638" t="str">
        <f>B20</f>
        <v>Tenofovir Disoproxil Fumarate 300mg, Lamivudine 300mg &amp; Efavirenz 600mg tablets</v>
      </c>
      <c r="D120" s="638"/>
      <c r="E120" s="529" t="s">
        <v>121</v>
      </c>
      <c r="F120" s="529"/>
      <c r="G120" s="530">
        <f>F115</f>
        <v>0.98474881359604405</v>
      </c>
      <c r="H120" s="422"/>
      <c r="I120" s="422"/>
    </row>
    <row r="121" spans="1:10" ht="19.5" customHeight="1" x14ac:dyDescent="0.3">
      <c r="A121" s="582"/>
      <c r="B121" s="582"/>
      <c r="C121" s="583"/>
      <c r="D121" s="583"/>
      <c r="E121" s="583"/>
      <c r="F121" s="583"/>
      <c r="G121" s="583"/>
      <c r="H121" s="583"/>
    </row>
    <row r="122" spans="1:10" ht="18.75" x14ac:dyDescent="0.3">
      <c r="B122" s="639" t="s">
        <v>23</v>
      </c>
      <c r="C122" s="639"/>
      <c r="E122" s="535" t="s">
        <v>24</v>
      </c>
      <c r="F122" s="584"/>
      <c r="G122" s="639" t="s">
        <v>25</v>
      </c>
      <c r="H122" s="639"/>
    </row>
    <row r="123" spans="1:10" ht="69.95" customHeight="1" x14ac:dyDescent="0.3">
      <c r="A123" s="585" t="s">
        <v>26</v>
      </c>
      <c r="B123" s="586"/>
      <c r="C123" s="586"/>
      <c r="E123" s="586"/>
      <c r="F123" s="422"/>
      <c r="G123" s="587"/>
      <c r="H123" s="587"/>
    </row>
    <row r="124" spans="1:10" ht="69.95" customHeight="1" x14ac:dyDescent="0.3">
      <c r="A124" s="585" t="s">
        <v>27</v>
      </c>
      <c r="B124" s="588"/>
      <c r="C124" s="588"/>
      <c r="E124" s="588"/>
      <c r="F124" s="422"/>
      <c r="G124" s="589"/>
      <c r="H124" s="589"/>
    </row>
    <row r="125" spans="1:10" ht="18.75" x14ac:dyDescent="0.3">
      <c r="A125" s="520"/>
      <c r="B125" s="520"/>
      <c r="C125" s="521"/>
      <c r="D125" s="521"/>
      <c r="E125" s="521"/>
      <c r="F125" s="525"/>
      <c r="G125" s="521"/>
      <c r="H125" s="521"/>
      <c r="I125" s="422"/>
    </row>
    <row r="126" spans="1:10" ht="18.75" x14ac:dyDescent="0.3">
      <c r="A126" s="520"/>
      <c r="B126" s="520"/>
      <c r="C126" s="521"/>
      <c r="D126" s="521"/>
      <c r="E126" s="521"/>
      <c r="F126" s="525"/>
      <c r="G126" s="521"/>
      <c r="H126" s="521"/>
      <c r="I126" s="422"/>
    </row>
    <row r="127" spans="1:10" ht="18.75" x14ac:dyDescent="0.3">
      <c r="A127" s="520"/>
      <c r="B127" s="520"/>
      <c r="C127" s="521"/>
      <c r="D127" s="521"/>
      <c r="E127" s="521"/>
      <c r="F127" s="525"/>
      <c r="G127" s="521"/>
      <c r="H127" s="521"/>
      <c r="I127" s="422"/>
    </row>
    <row r="128" spans="1:10" ht="18.75" x14ac:dyDescent="0.3">
      <c r="A128" s="520"/>
      <c r="B128" s="520"/>
      <c r="C128" s="521"/>
      <c r="D128" s="521"/>
      <c r="E128" s="521"/>
      <c r="F128" s="525"/>
      <c r="G128" s="521"/>
      <c r="H128" s="521"/>
      <c r="I128" s="422"/>
    </row>
    <row r="129" spans="1:9" ht="18.75" x14ac:dyDescent="0.3">
      <c r="A129" s="520"/>
      <c r="B129" s="520"/>
      <c r="C129" s="521"/>
      <c r="D129" s="521"/>
      <c r="E129" s="521"/>
      <c r="F129" s="525"/>
      <c r="G129" s="521"/>
      <c r="H129" s="521"/>
      <c r="I129" s="422"/>
    </row>
    <row r="130" spans="1:9" ht="18.75" x14ac:dyDescent="0.3">
      <c r="A130" s="520"/>
      <c r="B130" s="520"/>
      <c r="C130" s="521"/>
      <c r="D130" s="521"/>
      <c r="E130" s="521"/>
      <c r="F130" s="525"/>
      <c r="G130" s="521"/>
      <c r="H130" s="521"/>
      <c r="I130" s="422"/>
    </row>
    <row r="131" spans="1:9" ht="18.75" x14ac:dyDescent="0.3">
      <c r="A131" s="520"/>
      <c r="B131" s="520"/>
      <c r="C131" s="521"/>
      <c r="D131" s="521"/>
      <c r="E131" s="521"/>
      <c r="F131" s="525"/>
      <c r="G131" s="521"/>
      <c r="H131" s="521"/>
      <c r="I131" s="422"/>
    </row>
    <row r="132" spans="1:9" ht="18.75" x14ac:dyDescent="0.3">
      <c r="A132" s="520"/>
      <c r="B132" s="520"/>
      <c r="C132" s="521"/>
      <c r="D132" s="521"/>
      <c r="E132" s="521"/>
      <c r="F132" s="525"/>
      <c r="G132" s="521"/>
      <c r="H132" s="521"/>
      <c r="I132" s="422"/>
    </row>
    <row r="133" spans="1:9" ht="18.75" x14ac:dyDescent="0.3">
      <c r="A133" s="520"/>
      <c r="B133" s="520"/>
      <c r="C133" s="521"/>
      <c r="D133" s="521"/>
      <c r="E133" s="521"/>
      <c r="F133" s="525"/>
      <c r="G133" s="521"/>
      <c r="H133" s="521"/>
      <c r="I133" s="42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2016-05-20T12:00:11Z</cp:lastPrinted>
  <dcterms:created xsi:type="dcterms:W3CDTF">2005-07-05T10:19:27Z</dcterms:created>
  <dcterms:modified xsi:type="dcterms:W3CDTF">2016-05-23T06:20:24Z</dcterms:modified>
</cp:coreProperties>
</file>