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55" windowWidth="15015" windowHeight="5580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45621"/>
</workbook>
</file>

<file path=xl/calcChain.xml><?xml version="1.0" encoding="utf-8"?>
<calcChain xmlns="http://schemas.openxmlformats.org/spreadsheetml/2006/main">
  <c r="D61" i="5" l="1"/>
  <c r="D65" i="5"/>
  <c r="B19" i="5" l="1"/>
  <c r="B41" i="6"/>
  <c r="E39" i="6"/>
  <c r="D39" i="6"/>
  <c r="C39" i="6"/>
  <c r="B39" i="6"/>
  <c r="B40" i="6" s="1"/>
  <c r="B30" i="6"/>
  <c r="B19" i="6"/>
  <c r="F17" i="6"/>
  <c r="E17" i="6"/>
  <c r="D17" i="6"/>
  <c r="B17" i="6"/>
  <c r="B18" i="6" s="1"/>
  <c r="B8" i="6"/>
  <c r="D69" i="5" l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F42" i="5"/>
  <c r="D42" i="5"/>
  <c r="G41" i="5"/>
  <c r="E41" i="5"/>
  <c r="B34" i="5"/>
  <c r="D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D33" i="2"/>
  <c r="C33" i="2"/>
  <c r="B33" i="2"/>
  <c r="F44" i="5" l="1"/>
  <c r="F45" i="5" s="1"/>
  <c r="G39" i="5" s="1"/>
  <c r="D44" i="4"/>
  <c r="D49" i="5"/>
  <c r="G40" i="5"/>
  <c r="D45" i="4"/>
  <c r="E40" i="4" s="1"/>
  <c r="C35" i="2"/>
  <c r="E38" i="4"/>
  <c r="F46" i="5"/>
  <c r="D45" i="5"/>
  <c r="C37" i="2"/>
  <c r="D46" i="4"/>
  <c r="F45" i="4"/>
  <c r="C39" i="2" l="1"/>
  <c r="D46" i="5"/>
  <c r="E40" i="5"/>
  <c r="E39" i="5"/>
  <c r="E38" i="5"/>
  <c r="E39" i="4"/>
  <c r="E42" i="4" s="1"/>
  <c r="G38" i="5"/>
  <c r="G42" i="5" s="1"/>
  <c r="F46" i="4"/>
  <c r="G39" i="4"/>
  <c r="G40" i="4"/>
  <c r="G38" i="4"/>
  <c r="B57" i="4"/>
  <c r="D58" i="4" s="1"/>
  <c r="B70" i="4" s="1"/>
  <c r="B57" i="5"/>
  <c r="D58" i="5" s="1"/>
  <c r="D50" i="5" l="1"/>
  <c r="D51" i="5" s="1"/>
  <c r="E42" i="5"/>
  <c r="D52" i="5"/>
  <c r="G42" i="4"/>
  <c r="D50" i="4"/>
  <c r="G65" i="4" s="1"/>
  <c r="H65" i="4" s="1"/>
  <c r="D52" i="4"/>
  <c r="G66" i="5"/>
  <c r="H66" i="5" s="1"/>
  <c r="B70" i="5"/>
  <c r="G69" i="5"/>
  <c r="H69" i="5" s="1"/>
  <c r="G63" i="5"/>
  <c r="H63" i="5" s="1"/>
  <c r="G65" i="5" l="1"/>
  <c r="H65" i="5" s="1"/>
  <c r="G70" i="5"/>
  <c r="H70" i="5" s="1"/>
  <c r="G71" i="5"/>
  <c r="H71" i="5" s="1"/>
  <c r="G62" i="5"/>
  <c r="H62" i="5" s="1"/>
  <c r="G61" i="5"/>
  <c r="H61" i="5" s="1"/>
  <c r="H73" i="5" s="1"/>
  <c r="G67" i="5"/>
  <c r="H67" i="5" s="1"/>
  <c r="H75" i="5" s="1"/>
  <c r="G66" i="4"/>
  <c r="H66" i="4" s="1"/>
  <c r="D51" i="4"/>
  <c r="G70" i="4"/>
  <c r="H70" i="4" s="1"/>
  <c r="G61" i="4"/>
  <c r="H61" i="4" s="1"/>
  <c r="G69" i="4"/>
  <c r="H69" i="4" s="1"/>
  <c r="G63" i="4"/>
  <c r="H63" i="4" s="1"/>
  <c r="G67" i="4"/>
  <c r="H67" i="4" s="1"/>
  <c r="G62" i="4"/>
  <c r="H62" i="4" s="1"/>
  <c r="G71" i="4"/>
  <c r="H71" i="4" s="1"/>
  <c r="H73" i="4" l="1"/>
  <c r="G77" i="4" s="1"/>
  <c r="H75" i="4"/>
  <c r="H74" i="5"/>
  <c r="G77" i="5"/>
  <c r="H74" i="4" l="1"/>
</calcChain>
</file>

<file path=xl/sharedStrings.xml><?xml version="1.0" encoding="utf-8"?>
<sst xmlns="http://schemas.openxmlformats.org/spreadsheetml/2006/main" count="271" uniqueCount="123">
  <si>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</si>
  <si>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</si>
  <si>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</si>
  <si>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</si>
  <si>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</si>
  <si>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</si>
  <si>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</si>
  <si>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</si>
  <si>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</si>
  <si>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</si>
  <si>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</si>
  <si>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</si>
  <si>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</si>
  <si>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</si>
  <si>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</si>
  <si>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</si>
  <si>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</si>
  <si>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</si>
  <si>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</si>
  <si>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</si>
  <si>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</si>
  <si>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</si>
  <si>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</si>
  <si>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</si>
  <si>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</si>
  <si>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</si>
  <si>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</si>
  <si>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</si>
  <si>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</si>
  <si>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</si>
  <si>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</si>
  <si>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</si>
  <si>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</si>
  <si>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</si>
  <si>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</si>
  <si>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</si>
  <si>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</si>
  <si>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</si>
  <si>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</si>
  <si>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</si>
  <si>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</si>
  <si>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</si>
  <si>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</si>
  <si>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</si>
  <si>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</si>
  <si>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</si>
  <si>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</si>
  <si>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</si>
  <si>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</si>
  <si>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</si>
  <si>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</si>
  <si>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</si>
  <si>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</si>
  <si>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</si>
  <si>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</si>
  <si>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</si>
  <si>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</si>
  <si>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</si>
  <si>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</si>
  <si>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</si>
  <si>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</si>
  <si>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</si>
  <si>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</si>
  <si>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</si>
  <si>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</si>
  <si>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</si>
  <si>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</si>
  <si>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</si>
  <si>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</si>
  <si>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</si>
  <si>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</si>
  <si>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</si>
  <si>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</si>
  <si>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</si>
  <si>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</si>
  <si>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</si>
  <si>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</si>
  <si>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</si>
  <si>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</si>
  <si>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</si>
  <si>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</si>
  <si>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</si>
  <si>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</si>
  <si>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</si>
  <si>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</si>
  <si>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</si>
  <si>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</si>
  <si>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</si>
  <si>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</si>
  <si>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</si>
  <si>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</si>
  <si>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</si>
  <si>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</si>
  <si>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</si>
  <si>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</si>
  <si>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</si>
  <si>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</si>
  <si>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</si>
  <si>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</si>
  <si>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</si>
  <si>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</si>
  <si>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</si>
  <si>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</si>
  <si>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</si>
  <si>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</si>
  <si>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</si>
  <si>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</si>
  <si>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</si>
  <si>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</si>
  <si>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</si>
  <si>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</si>
  <si>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</si>
  <si>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</si>
  <si>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</si>
  <si>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</si>
  <si>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</si>
  <si>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</si>
  <si>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</si>
  <si>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Sulphamethoxazole &amp; Trimethoprim</t>
  </si>
  <si>
    <t>Sulphamethoxazole</t>
  </si>
  <si>
    <t>12th May 2016</t>
  </si>
  <si>
    <t>NDQB201604902</t>
  </si>
  <si>
    <t>NDQB201605902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</si>
</sst>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7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topLeftCell="A19" zoomScale="90" zoomScaleSheetLayoutView="90" workbookViewId="0">
      <selection activeCell="D29" sqref="D2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1" t="s">
        <v>29</v>
      </c>
      <c r="B1" s="371"/>
      <c r="C1" s="371"/>
      <c r="D1" s="371"/>
      <c r="E1" s="371"/>
      <c r="F1" s="371"/>
      <c r="G1" s="57"/>
    </row>
    <row r="2" spans="1:7" ht="12.75" customHeight="1" x14ac:dyDescent="0.3">
      <c r="A2" s="371"/>
      <c r="B2" s="371"/>
      <c r="C2" s="371"/>
      <c r="D2" s="371"/>
      <c r="E2" s="371"/>
      <c r="F2" s="371"/>
      <c r="G2" s="57"/>
    </row>
    <row r="3" spans="1:7" ht="12.75" customHeight="1" x14ac:dyDescent="0.3">
      <c r="A3" s="371"/>
      <c r="B3" s="371"/>
      <c r="C3" s="371"/>
      <c r="D3" s="371"/>
      <c r="E3" s="371"/>
      <c r="F3" s="371"/>
      <c r="G3" s="57"/>
    </row>
    <row r="4" spans="1:7" ht="12.75" customHeight="1" x14ac:dyDescent="0.3">
      <c r="A4" s="371"/>
      <c r="B4" s="371"/>
      <c r="C4" s="371"/>
      <c r="D4" s="371"/>
      <c r="E4" s="371"/>
      <c r="F4" s="371"/>
      <c r="G4" s="57"/>
    </row>
    <row r="5" spans="1:7" ht="12.75" customHeight="1" x14ac:dyDescent="0.3">
      <c r="A5" s="371"/>
      <c r="B5" s="371"/>
      <c r="C5" s="371"/>
      <c r="D5" s="371"/>
      <c r="E5" s="371"/>
      <c r="F5" s="371"/>
      <c r="G5" s="57"/>
    </row>
    <row r="6" spans="1:7" ht="12.75" customHeight="1" x14ac:dyDescent="0.3">
      <c r="A6" s="371"/>
      <c r="B6" s="371"/>
      <c r="C6" s="371"/>
      <c r="D6" s="371"/>
      <c r="E6" s="371"/>
      <c r="F6" s="371"/>
      <c r="G6" s="57"/>
    </row>
    <row r="7" spans="1:7" ht="12.75" customHeight="1" x14ac:dyDescent="0.3">
      <c r="A7" s="371"/>
      <c r="B7" s="371"/>
      <c r="C7" s="371"/>
      <c r="D7" s="371"/>
      <c r="E7" s="371"/>
      <c r="F7" s="371"/>
      <c r="G7" s="57"/>
    </row>
    <row r="8" spans="1:7" ht="15" customHeight="1" x14ac:dyDescent="0.3">
      <c r="A8" s="370" t="s">
        <v>30</v>
      </c>
      <c r="B8" s="370"/>
      <c r="C8" s="370"/>
      <c r="D8" s="370"/>
      <c r="E8" s="370"/>
      <c r="F8" s="370"/>
      <c r="G8" s="58"/>
    </row>
    <row r="9" spans="1:7" ht="12.75" customHeight="1" x14ac:dyDescent="0.3">
      <c r="A9" s="370"/>
      <c r="B9" s="370"/>
      <c r="C9" s="370"/>
      <c r="D9" s="370"/>
      <c r="E9" s="370"/>
      <c r="F9" s="370"/>
      <c r="G9" s="58"/>
    </row>
    <row r="10" spans="1:7" ht="12.75" customHeight="1" x14ac:dyDescent="0.3">
      <c r="A10" s="370"/>
      <c r="B10" s="370"/>
      <c r="C10" s="370"/>
      <c r="D10" s="370"/>
      <c r="E10" s="370"/>
      <c r="F10" s="370"/>
      <c r="G10" s="58"/>
    </row>
    <row r="11" spans="1:7" ht="12.75" customHeight="1" x14ac:dyDescent="0.3">
      <c r="A11" s="370"/>
      <c r="B11" s="370"/>
      <c r="C11" s="370"/>
      <c r="D11" s="370"/>
      <c r="E11" s="370"/>
      <c r="F11" s="370"/>
      <c r="G11" s="58"/>
    </row>
    <row r="12" spans="1:7" ht="12.75" customHeight="1" x14ac:dyDescent="0.3">
      <c r="A12" s="370"/>
      <c r="B12" s="370"/>
      <c r="C12" s="370"/>
      <c r="D12" s="370"/>
      <c r="E12" s="370"/>
      <c r="F12" s="370"/>
      <c r="G12" s="58"/>
    </row>
    <row r="13" spans="1:7" ht="12.75" customHeight="1" x14ac:dyDescent="0.3">
      <c r="A13" s="370"/>
      <c r="B13" s="370"/>
      <c r="C13" s="370"/>
      <c r="D13" s="370"/>
      <c r="E13" s="370"/>
      <c r="F13" s="370"/>
      <c r="G13" s="58"/>
    </row>
    <row r="14" spans="1:7" ht="12.75" customHeight="1" x14ac:dyDescent="0.3">
      <c r="A14" s="370"/>
      <c r="B14" s="370"/>
      <c r="C14" s="370"/>
      <c r="D14" s="370"/>
      <c r="E14" s="370"/>
      <c r="F14" s="370"/>
      <c r="G14" s="58"/>
    </row>
    <row r="15" spans="1:7" ht="13.5" customHeight="1" x14ac:dyDescent="0.3"/>
    <row r="16" spans="1:7" ht="19.5" customHeight="1" x14ac:dyDescent="0.3">
      <c r="A16" s="366" t="s">
        <v>31</v>
      </c>
      <c r="B16" s="367"/>
      <c r="C16" s="367"/>
      <c r="D16" s="367"/>
      <c r="E16" s="367"/>
      <c r="F16" s="368"/>
    </row>
    <row r="17" spans="1:13" ht="18.75" customHeight="1" x14ac:dyDescent="0.3">
      <c r="A17" s="369" t="s">
        <v>32</v>
      </c>
      <c r="B17" s="369"/>
      <c r="C17" s="369"/>
      <c r="D17" s="369"/>
      <c r="E17" s="369"/>
      <c r="F17" s="36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33</v>
      </c>
      <c r="B20" s="359" t="s">
        <v>5</v>
      </c>
    </row>
    <row r="21" spans="1:13" ht="16.5" customHeight="1" x14ac:dyDescent="0.3">
      <c r="A21" s="4" t="s">
        <v>34</v>
      </c>
      <c r="B21" s="364" t="s">
        <v>121</v>
      </c>
    </row>
    <row r="22" spans="1:13" ht="16.5" customHeight="1" x14ac:dyDescent="0.3">
      <c r="A22" s="4" t="s">
        <v>35</v>
      </c>
      <c r="B22" s="59" t="s">
        <v>9</v>
      </c>
    </row>
    <row r="23" spans="1:13" ht="16.5" customHeight="1" x14ac:dyDescent="0.3">
      <c r="A23" s="4" t="s">
        <v>36</v>
      </c>
      <c r="B23" s="59" t="s">
        <v>11</v>
      </c>
    </row>
    <row r="24" spans="1:13" ht="16.5" customHeight="1" x14ac:dyDescent="0.3">
      <c r="A24" s="4" t="s">
        <v>37</v>
      </c>
      <c r="B24" s="60">
        <v>42499</v>
      </c>
    </row>
    <row r="25" spans="1:13" ht="16.5" customHeight="1" x14ac:dyDescent="0.3">
      <c r="A25" s="4" t="s">
        <v>38</v>
      </c>
      <c r="B25" s="60">
        <v>42502</v>
      </c>
    </row>
    <row r="27" spans="1:13" ht="13.5" customHeight="1" x14ac:dyDescent="0.3"/>
    <row r="28" spans="1:13" ht="17.25" customHeight="1" x14ac:dyDescent="0.3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21.735209999999999</v>
      </c>
      <c r="C29" s="12">
        <v>46.786459999999998</v>
      </c>
      <c r="D29" s="12">
        <v>50.579830000000001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46.784829999999999</v>
      </c>
      <c r="D30" s="12">
        <v>50.578279999999999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46.766289999999998</v>
      </c>
      <c r="D31" s="15">
        <v>50.535170000000001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21.735209999999999</v>
      </c>
      <c r="C33" s="18">
        <f>AVERAGE(C29:C32)</f>
        <v>46.779193333333332</v>
      </c>
      <c r="D33" s="18">
        <f>AVERAGE(D29:D32)</f>
        <v>50.564426666666662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41</v>
      </c>
      <c r="C35" s="22">
        <f>C33-B33</f>
        <v>25.043983333333333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42</v>
      </c>
      <c r="C37" s="22">
        <f>D33-B33</f>
        <v>28.829216666666664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43</v>
      </c>
      <c r="C39" s="28">
        <f>C37/C35</f>
        <v>1.1511434216734691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 x14ac:dyDescent="0.3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zoomScale="90" zoomScaleSheetLayoutView="90" workbookViewId="0">
      <selection activeCell="E39" sqref="E39"/>
    </sheetView>
  </sheetViews>
  <sheetFormatPr defaultRowHeight="13.5" x14ac:dyDescent="0.2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 x14ac:dyDescent="0.3">
      <c r="A1" s="314"/>
      <c r="C1" s="316"/>
      <c r="F1" s="316"/>
    </row>
    <row r="2" spans="1:10" ht="18.75" customHeight="1" x14ac:dyDescent="0.3">
      <c r="A2" s="372" t="s">
        <v>0</v>
      </c>
      <c r="B2" s="372"/>
      <c r="C2" s="372"/>
      <c r="D2" s="372"/>
      <c r="E2" s="372"/>
    </row>
    <row r="3" spans="1:10" ht="16.5" customHeight="1" x14ac:dyDescent="0.3">
      <c r="A3" s="318" t="s">
        <v>1</v>
      </c>
      <c r="B3" s="319" t="s">
        <v>2</v>
      </c>
    </row>
    <row r="4" spans="1:10" ht="16.5" customHeight="1" x14ac:dyDescent="0.3">
      <c r="A4" s="320" t="s">
        <v>3</v>
      </c>
      <c r="B4" s="320" t="s">
        <v>117</v>
      </c>
      <c r="D4" s="321"/>
      <c r="E4" s="322"/>
    </row>
    <row r="5" spans="1:10" ht="16.5" customHeight="1" x14ac:dyDescent="0.3">
      <c r="A5" s="323" t="s">
        <v>4</v>
      </c>
      <c r="B5" s="320" t="s">
        <v>111</v>
      </c>
      <c r="C5" s="322"/>
      <c r="D5" s="322"/>
      <c r="E5" s="322"/>
    </row>
    <row r="6" spans="1:10" ht="16.5" customHeight="1" thickBot="1" x14ac:dyDescent="0.35">
      <c r="A6" s="323" t="s">
        <v>6</v>
      </c>
      <c r="B6" s="324">
        <v>99.8</v>
      </c>
      <c r="C6" s="322"/>
      <c r="D6" s="322"/>
      <c r="E6" s="322"/>
    </row>
    <row r="7" spans="1:10" ht="16.5" customHeight="1" x14ac:dyDescent="0.3">
      <c r="A7" s="320" t="s">
        <v>8</v>
      </c>
      <c r="B7" s="360">
        <v>16.05</v>
      </c>
      <c r="C7" s="322"/>
      <c r="D7" s="322"/>
      <c r="E7" s="322"/>
    </row>
    <row r="8" spans="1:10" ht="16.5" customHeight="1" x14ac:dyDescent="0.3">
      <c r="A8" s="320" t="s">
        <v>10</v>
      </c>
      <c r="B8" s="325">
        <f>B7/50*10/20</f>
        <v>0.1605</v>
      </c>
      <c r="C8" s="322"/>
      <c r="D8" s="322"/>
      <c r="E8" s="322"/>
    </row>
    <row r="9" spans="1:10" ht="15.75" customHeight="1" x14ac:dyDescent="0.25">
      <c r="A9" s="322"/>
      <c r="B9" s="322"/>
      <c r="C9" s="322"/>
      <c r="D9" s="322"/>
      <c r="E9" s="322"/>
    </row>
    <row r="10" spans="1:10" ht="16.5" customHeight="1" x14ac:dyDescent="0.3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 x14ac:dyDescent="0.3">
      <c r="A11" s="329">
        <v>1</v>
      </c>
      <c r="B11" s="330">
        <v>214565509</v>
      </c>
      <c r="C11" s="330">
        <v>3870.81</v>
      </c>
      <c r="D11" s="331">
        <v>0.82</v>
      </c>
      <c r="E11" s="332">
        <v>10.31</v>
      </c>
      <c r="F11" s="332">
        <v>8.99</v>
      </c>
      <c r="J11" s="315"/>
    </row>
    <row r="12" spans="1:10" ht="16.5" customHeight="1" x14ac:dyDescent="0.3">
      <c r="A12" s="329">
        <v>2</v>
      </c>
      <c r="B12" s="330">
        <v>215339762</v>
      </c>
      <c r="C12" s="330">
        <v>3836.44</v>
      </c>
      <c r="D12" s="331">
        <v>0.82</v>
      </c>
      <c r="E12" s="331">
        <v>10.32</v>
      </c>
      <c r="F12" s="331">
        <v>8.9700000000000006</v>
      </c>
      <c r="J12" s="315"/>
    </row>
    <row r="13" spans="1:10" ht="16.5" customHeight="1" x14ac:dyDescent="0.3">
      <c r="A13" s="329">
        <v>3</v>
      </c>
      <c r="B13" s="330">
        <v>214613160</v>
      </c>
      <c r="C13" s="330">
        <v>3841.87</v>
      </c>
      <c r="D13" s="331">
        <v>0.82</v>
      </c>
      <c r="E13" s="331">
        <v>10.31</v>
      </c>
      <c r="F13" s="331">
        <v>8.9600000000000009</v>
      </c>
      <c r="J13" s="315"/>
    </row>
    <row r="14" spans="1:10" ht="16.5" customHeight="1" x14ac:dyDescent="0.3">
      <c r="A14" s="329">
        <v>4</v>
      </c>
      <c r="B14" s="330">
        <v>215956032</v>
      </c>
      <c r="C14" s="330">
        <v>3871.43</v>
      </c>
      <c r="D14" s="331">
        <v>0.82</v>
      </c>
      <c r="E14" s="331">
        <v>10.31</v>
      </c>
      <c r="F14" s="331">
        <v>8.98</v>
      </c>
      <c r="J14" s="315"/>
    </row>
    <row r="15" spans="1:10" ht="16.5" customHeight="1" x14ac:dyDescent="0.3">
      <c r="A15" s="329">
        <v>5</v>
      </c>
      <c r="B15" s="330">
        <v>215123345</v>
      </c>
      <c r="C15" s="330">
        <v>3787.59</v>
      </c>
      <c r="D15" s="331">
        <v>0.82</v>
      </c>
      <c r="E15" s="331">
        <v>10.31</v>
      </c>
      <c r="F15" s="331">
        <v>8.91</v>
      </c>
      <c r="J15" s="315"/>
    </row>
    <row r="16" spans="1:10" ht="16.5" customHeight="1" x14ac:dyDescent="0.3">
      <c r="A16" s="329">
        <v>6</v>
      </c>
      <c r="B16" s="333">
        <v>216543873</v>
      </c>
      <c r="C16" s="333">
        <v>3862.49</v>
      </c>
      <c r="D16" s="334">
        <v>0.83</v>
      </c>
      <c r="E16" s="334">
        <v>10.3</v>
      </c>
      <c r="F16" s="334">
        <v>8.9700000000000006</v>
      </c>
      <c r="J16" s="315"/>
    </row>
    <row r="17" spans="1:10" ht="16.5" customHeight="1" x14ac:dyDescent="0.3">
      <c r="A17" s="335" t="s">
        <v>17</v>
      </c>
      <c r="B17" s="336">
        <f>AVERAGE(B11:B16)</f>
        <v>215356946.83333334</v>
      </c>
      <c r="C17" s="337">
        <v>4171.3900000000003</v>
      </c>
      <c r="D17" s="338">
        <f>AVERAGE(D11:D16)</f>
        <v>0.82166666666666666</v>
      </c>
      <c r="E17" s="338">
        <f>AVERAGE(E11:E16)</f>
        <v>10.310000000000002</v>
      </c>
      <c r="F17" s="338">
        <f>AVERAGE(F11:F16)</f>
        <v>8.9633333333333329</v>
      </c>
      <c r="J17" s="315"/>
    </row>
    <row r="18" spans="1:10" ht="16.5" customHeight="1" x14ac:dyDescent="0.3">
      <c r="A18" s="339" t="s">
        <v>18</v>
      </c>
      <c r="B18" s="340">
        <f>(STDEV(B11:B16)/B17)</f>
        <v>3.5980951052187052E-3</v>
      </c>
      <c r="C18" s="341"/>
      <c r="D18" s="341"/>
      <c r="E18" s="341"/>
      <c r="F18" s="342"/>
      <c r="J18" s="315"/>
    </row>
    <row r="19" spans="1:10" s="315" customFormat="1" ht="16.5" customHeight="1" x14ac:dyDescent="0.3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 x14ac:dyDescent="0.25">
      <c r="A20" s="322"/>
      <c r="B20" s="322"/>
      <c r="C20" s="322"/>
      <c r="D20" s="322"/>
      <c r="E20" s="322"/>
    </row>
    <row r="21" spans="1:10" s="315" customFormat="1" ht="16.5" customHeight="1" x14ac:dyDescent="0.3">
      <c r="A21" s="323" t="s">
        <v>20</v>
      </c>
      <c r="B21" s="348" t="s">
        <v>21</v>
      </c>
      <c r="C21" s="349"/>
      <c r="D21" s="349"/>
      <c r="E21" s="349"/>
    </row>
    <row r="22" spans="1:10" ht="16.5" customHeight="1" x14ac:dyDescent="0.3">
      <c r="A22" s="323"/>
      <c r="B22" s="348" t="s">
        <v>22</v>
      </c>
      <c r="C22" s="349"/>
      <c r="D22" s="349"/>
      <c r="E22" s="349"/>
    </row>
    <row r="23" spans="1:10" ht="16.5" customHeight="1" x14ac:dyDescent="0.3">
      <c r="A23" s="323"/>
      <c r="B23" s="348" t="s">
        <v>23</v>
      </c>
      <c r="C23" s="349"/>
      <c r="D23" s="349"/>
      <c r="E23" s="349"/>
    </row>
    <row r="24" spans="1:10" ht="16.5" customHeight="1" x14ac:dyDescent="0.3">
      <c r="A24" s="323"/>
      <c r="B24" s="350" t="s">
        <v>113</v>
      </c>
      <c r="C24" s="349"/>
      <c r="D24" s="349"/>
      <c r="E24" s="349"/>
    </row>
    <row r="25" spans="1:10" ht="15.75" customHeight="1" x14ac:dyDescent="0.25">
      <c r="A25" s="322"/>
      <c r="C25" s="322"/>
      <c r="D25" s="322"/>
      <c r="E25" s="322"/>
    </row>
    <row r="26" spans="1:10" ht="16.5" customHeight="1" x14ac:dyDescent="0.3">
      <c r="A26" s="318" t="s">
        <v>1</v>
      </c>
      <c r="B26" s="319" t="s">
        <v>116</v>
      </c>
    </row>
    <row r="27" spans="1:10" ht="16.5" customHeight="1" x14ac:dyDescent="0.3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 x14ac:dyDescent="0.35">
      <c r="A28" s="323" t="s">
        <v>6</v>
      </c>
      <c r="B28" s="324">
        <v>99.66</v>
      </c>
      <c r="C28" s="322"/>
      <c r="D28" s="322"/>
      <c r="E28" s="322"/>
    </row>
    <row r="29" spans="1:10" ht="16.5" customHeight="1" x14ac:dyDescent="0.3">
      <c r="A29" s="320" t="s">
        <v>8</v>
      </c>
      <c r="B29" s="360">
        <v>26.37</v>
      </c>
      <c r="C29" s="322"/>
      <c r="D29" s="322"/>
      <c r="E29" s="322"/>
    </row>
    <row r="30" spans="1:10" ht="16.5" customHeight="1" x14ac:dyDescent="0.3">
      <c r="A30" s="320" t="s">
        <v>10</v>
      </c>
      <c r="B30" s="325">
        <f>B29/100*3/20</f>
        <v>3.9554999999999993E-2</v>
      </c>
      <c r="C30" s="322"/>
      <c r="D30" s="322"/>
      <c r="E30" s="322"/>
    </row>
    <row r="31" spans="1:10" ht="15.75" customHeight="1" x14ac:dyDescent="0.25">
      <c r="A31" s="322"/>
      <c r="B31" s="322"/>
      <c r="C31" s="322"/>
      <c r="D31" s="322"/>
      <c r="E31" s="322"/>
    </row>
    <row r="32" spans="1:10" ht="16.5" customHeight="1" x14ac:dyDescent="0.3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 x14ac:dyDescent="0.3">
      <c r="A33" s="329">
        <v>1</v>
      </c>
      <c r="B33" s="330">
        <v>19588865</v>
      </c>
      <c r="C33" s="330">
        <v>5449.74</v>
      </c>
      <c r="D33" s="331">
        <v>1.05</v>
      </c>
      <c r="E33" s="332">
        <v>5.89</v>
      </c>
    </row>
    <row r="34" spans="1:7" ht="16.5" customHeight="1" x14ac:dyDescent="0.3">
      <c r="A34" s="329">
        <v>2</v>
      </c>
      <c r="B34" s="330">
        <v>19739494</v>
      </c>
      <c r="C34" s="330">
        <v>5438.6</v>
      </c>
      <c r="D34" s="331">
        <v>1.05</v>
      </c>
      <c r="E34" s="331">
        <v>5.9</v>
      </c>
    </row>
    <row r="35" spans="1:7" ht="16.5" customHeight="1" x14ac:dyDescent="0.3">
      <c r="A35" s="329">
        <v>3</v>
      </c>
      <c r="B35" s="330">
        <v>19650435</v>
      </c>
      <c r="C35" s="330">
        <v>5438.76</v>
      </c>
      <c r="D35" s="331">
        <v>1.06</v>
      </c>
      <c r="E35" s="331">
        <v>5.9</v>
      </c>
    </row>
    <row r="36" spans="1:7" ht="16.5" customHeight="1" x14ac:dyDescent="0.3">
      <c r="A36" s="329">
        <v>4</v>
      </c>
      <c r="B36" s="330">
        <v>19780174</v>
      </c>
      <c r="C36" s="330">
        <v>5450.35</v>
      </c>
      <c r="D36" s="331">
        <v>1.06</v>
      </c>
      <c r="E36" s="331">
        <v>5.9</v>
      </c>
    </row>
    <row r="37" spans="1:7" ht="16.5" customHeight="1" x14ac:dyDescent="0.3">
      <c r="A37" s="329">
        <v>5</v>
      </c>
      <c r="B37" s="330">
        <v>19689874</v>
      </c>
      <c r="C37" s="330">
        <v>5454.7</v>
      </c>
      <c r="D37" s="331">
        <v>1.05</v>
      </c>
      <c r="E37" s="331">
        <v>5.9</v>
      </c>
    </row>
    <row r="38" spans="1:7" ht="16.5" customHeight="1" x14ac:dyDescent="0.3">
      <c r="A38" s="329">
        <v>6</v>
      </c>
      <c r="B38" s="333">
        <v>19792611</v>
      </c>
      <c r="C38" s="333">
        <v>5456.27</v>
      </c>
      <c r="D38" s="334">
        <v>1.0900000000000001</v>
      </c>
      <c r="E38" s="334">
        <v>5.9</v>
      </c>
    </row>
    <row r="39" spans="1:7" ht="16.5" customHeight="1" x14ac:dyDescent="0.3">
      <c r="A39" s="335" t="s">
        <v>17</v>
      </c>
      <c r="B39" s="336">
        <f>AVERAGE(B33:B38)</f>
        <v>19706908.833333332</v>
      </c>
      <c r="C39" s="337">
        <f>AVERAGE(C33:C38)</f>
        <v>5448.0700000000006</v>
      </c>
      <c r="D39" s="338">
        <f>AVERAGE(D33:D38)</f>
        <v>1.06</v>
      </c>
      <c r="E39" s="338">
        <f>AVERAGE(E33:E38)</f>
        <v>5.8983333333333325</v>
      </c>
    </row>
    <row r="40" spans="1:7" ht="16.5" customHeight="1" x14ac:dyDescent="0.3">
      <c r="A40" s="339" t="s">
        <v>18</v>
      </c>
      <c r="B40" s="340">
        <f>(STDEV(B33:B38)/B39)</f>
        <v>4.0076713399217825E-3</v>
      </c>
      <c r="C40" s="341"/>
      <c r="D40" s="341"/>
      <c r="E40" s="342"/>
    </row>
    <row r="41" spans="1:7" s="315" customFormat="1" ht="16.5" customHeight="1" x14ac:dyDescent="0.3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 x14ac:dyDescent="0.25">
      <c r="A42" s="322"/>
      <c r="B42" s="322"/>
      <c r="C42" s="322"/>
      <c r="D42" s="322"/>
      <c r="E42" s="322"/>
    </row>
    <row r="43" spans="1:7" s="315" customFormat="1" ht="16.5" customHeight="1" x14ac:dyDescent="0.3">
      <c r="A43" s="323" t="s">
        <v>20</v>
      </c>
      <c r="B43" s="348" t="s">
        <v>21</v>
      </c>
      <c r="C43" s="349"/>
      <c r="D43" s="349"/>
      <c r="E43" s="349"/>
    </row>
    <row r="44" spans="1:7" ht="16.5" customHeight="1" x14ac:dyDescent="0.3">
      <c r="A44" s="323"/>
      <c r="B44" s="348" t="s">
        <v>22</v>
      </c>
      <c r="C44" s="349"/>
      <c r="D44" s="349"/>
      <c r="E44" s="349"/>
    </row>
    <row r="45" spans="1:7" ht="16.5" customHeight="1" x14ac:dyDescent="0.3">
      <c r="A45" s="323"/>
      <c r="B45" s="348" t="s">
        <v>23</v>
      </c>
      <c r="C45" s="349"/>
      <c r="D45" s="349"/>
      <c r="E45" s="349"/>
    </row>
    <row r="46" spans="1:7" ht="14.25" customHeight="1" thickBot="1" x14ac:dyDescent="0.3">
      <c r="A46" s="351"/>
      <c r="D46" s="352"/>
      <c r="F46" s="317"/>
      <c r="G46" s="317"/>
    </row>
    <row r="47" spans="1:7" ht="15" customHeight="1" x14ac:dyDescent="0.3">
      <c r="B47" s="373" t="s">
        <v>24</v>
      </c>
      <c r="C47" s="373"/>
      <c r="E47" s="353" t="s">
        <v>25</v>
      </c>
      <c r="F47" s="354"/>
      <c r="G47" s="353" t="s">
        <v>26</v>
      </c>
    </row>
    <row r="48" spans="1:7" ht="15" customHeight="1" x14ac:dyDescent="0.3">
      <c r="A48" s="355" t="s">
        <v>27</v>
      </c>
      <c r="B48" s="356" t="s">
        <v>115</v>
      </c>
      <c r="C48" s="356"/>
      <c r="E48" s="361" t="s">
        <v>120</v>
      </c>
      <c r="G48" s="356"/>
    </row>
    <row r="49" spans="1:7" ht="15" customHeight="1" x14ac:dyDescent="0.3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55" zoomScaleNormal="75" workbookViewId="0">
      <selection activeCell="B19" sqref="B1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4" t="s">
        <v>29</v>
      </c>
      <c r="B1" s="374"/>
      <c r="C1" s="374"/>
      <c r="D1" s="374"/>
      <c r="E1" s="374"/>
      <c r="F1" s="374"/>
      <c r="G1" s="374"/>
      <c r="H1" s="374"/>
    </row>
    <row r="2" spans="1:8" x14ac:dyDescent="0.25">
      <c r="A2" s="374"/>
      <c r="B2" s="374"/>
      <c r="C2" s="374"/>
      <c r="D2" s="374"/>
      <c r="E2" s="374"/>
      <c r="F2" s="374"/>
      <c r="G2" s="374"/>
      <c r="H2" s="374"/>
    </row>
    <row r="3" spans="1:8" x14ac:dyDescent="0.25">
      <c r="A3" s="374"/>
      <c r="B3" s="374"/>
      <c r="C3" s="374"/>
      <c r="D3" s="374"/>
      <c r="E3" s="374"/>
      <c r="F3" s="374"/>
      <c r="G3" s="374"/>
      <c r="H3" s="374"/>
    </row>
    <row r="4" spans="1:8" x14ac:dyDescent="0.25">
      <c r="A4" s="374"/>
      <c r="B4" s="374"/>
      <c r="C4" s="374"/>
      <c r="D4" s="374"/>
      <c r="E4" s="374"/>
      <c r="F4" s="374"/>
      <c r="G4" s="374"/>
      <c r="H4" s="374"/>
    </row>
    <row r="5" spans="1:8" x14ac:dyDescent="0.25">
      <c r="A5" s="374"/>
      <c r="B5" s="374"/>
      <c r="C5" s="374"/>
      <c r="D5" s="374"/>
      <c r="E5" s="374"/>
      <c r="F5" s="374"/>
      <c r="G5" s="374"/>
      <c r="H5" s="374"/>
    </row>
    <row r="6" spans="1:8" x14ac:dyDescent="0.25">
      <c r="A6" s="374"/>
      <c r="B6" s="374"/>
      <c r="C6" s="374"/>
      <c r="D6" s="374"/>
      <c r="E6" s="374"/>
      <c r="F6" s="374"/>
      <c r="G6" s="374"/>
      <c r="H6" s="374"/>
    </row>
    <row r="7" spans="1:8" x14ac:dyDescent="0.25">
      <c r="A7" s="374"/>
      <c r="B7" s="374"/>
      <c r="C7" s="374"/>
      <c r="D7" s="374"/>
      <c r="E7" s="374"/>
      <c r="F7" s="374"/>
      <c r="G7" s="374"/>
      <c r="H7" s="374"/>
    </row>
    <row r="8" spans="1:8" x14ac:dyDescent="0.25">
      <c r="A8" s="375" t="s">
        <v>30</v>
      </c>
      <c r="B8" s="375"/>
      <c r="C8" s="375"/>
      <c r="D8" s="375"/>
      <c r="E8" s="375"/>
      <c r="F8" s="375"/>
      <c r="G8" s="375"/>
      <c r="H8" s="375"/>
    </row>
    <row r="9" spans="1:8" x14ac:dyDescent="0.25">
      <c r="A9" s="375"/>
      <c r="B9" s="375"/>
      <c r="C9" s="375"/>
      <c r="D9" s="375"/>
      <c r="E9" s="375"/>
      <c r="F9" s="375"/>
      <c r="G9" s="375"/>
      <c r="H9" s="375"/>
    </row>
    <row r="10" spans="1:8" x14ac:dyDescent="0.25">
      <c r="A10" s="375"/>
      <c r="B10" s="375"/>
      <c r="C10" s="375"/>
      <c r="D10" s="375"/>
      <c r="E10" s="375"/>
      <c r="F10" s="375"/>
      <c r="G10" s="375"/>
      <c r="H10" s="375"/>
    </row>
    <row r="11" spans="1:8" x14ac:dyDescent="0.25">
      <c r="A11" s="375"/>
      <c r="B11" s="375"/>
      <c r="C11" s="375"/>
      <c r="D11" s="375"/>
      <c r="E11" s="375"/>
      <c r="F11" s="375"/>
      <c r="G11" s="375"/>
      <c r="H11" s="375"/>
    </row>
    <row r="12" spans="1:8" x14ac:dyDescent="0.25">
      <c r="A12" s="375"/>
      <c r="B12" s="375"/>
      <c r="C12" s="375"/>
      <c r="D12" s="375"/>
      <c r="E12" s="375"/>
      <c r="F12" s="375"/>
      <c r="G12" s="375"/>
      <c r="H12" s="375"/>
    </row>
    <row r="13" spans="1:8" x14ac:dyDescent="0.25">
      <c r="A13" s="375"/>
      <c r="B13" s="375"/>
      <c r="C13" s="375"/>
      <c r="D13" s="375"/>
      <c r="E13" s="375"/>
      <c r="F13" s="375"/>
      <c r="G13" s="375"/>
      <c r="H13" s="375"/>
    </row>
    <row r="14" spans="1:8" x14ac:dyDescent="0.25">
      <c r="A14" s="375"/>
      <c r="B14" s="375"/>
      <c r="C14" s="375"/>
      <c r="D14" s="375"/>
      <c r="E14" s="375"/>
      <c r="F14" s="375"/>
      <c r="G14" s="375"/>
      <c r="H14" s="375"/>
    </row>
    <row r="15" spans="1:8" ht="19.5" customHeight="1" x14ac:dyDescent="0.25"/>
    <row r="16" spans="1:8" ht="19.5" customHeight="1" x14ac:dyDescent="0.3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76" t="s">
        <v>44</v>
      </c>
      <c r="B17" s="376"/>
      <c r="C17" s="376"/>
      <c r="D17" s="376"/>
      <c r="E17" s="376"/>
      <c r="F17" s="376"/>
      <c r="G17" s="376"/>
      <c r="H17" s="376"/>
    </row>
    <row r="18" spans="1:14" ht="26.25" customHeight="1" x14ac:dyDescent="0.4">
      <c r="A18" s="63" t="s">
        <v>33</v>
      </c>
      <c r="B18" s="377" t="s">
        <v>5</v>
      </c>
      <c r="C18" s="378"/>
    </row>
    <row r="19" spans="1:14" ht="26.25" customHeight="1" x14ac:dyDescent="0.4">
      <c r="A19" s="63" t="s">
        <v>34</v>
      </c>
      <c r="B19" s="365" t="s">
        <v>122</v>
      </c>
      <c r="C19" s="186">
        <v>25</v>
      </c>
    </row>
    <row r="20" spans="1:14" ht="26.25" customHeight="1" x14ac:dyDescent="0.4">
      <c r="A20" s="63" t="s">
        <v>35</v>
      </c>
      <c r="B20" s="362" t="s">
        <v>118</v>
      </c>
      <c r="C20" s="164"/>
    </row>
    <row r="21" spans="1:14" ht="26.25" customHeight="1" x14ac:dyDescent="0.4">
      <c r="A21" s="63" t="s">
        <v>36</v>
      </c>
      <c r="B21" s="387" t="s">
        <v>11</v>
      </c>
      <c r="C21" s="379"/>
      <c r="D21" s="379"/>
      <c r="E21" s="379"/>
      <c r="F21" s="379"/>
      <c r="G21" s="379"/>
      <c r="H21" s="379"/>
      <c r="I21" s="379"/>
    </row>
    <row r="22" spans="1:14" ht="26.25" customHeight="1" x14ac:dyDescent="0.4">
      <c r="A22" s="63" t="s">
        <v>37</v>
      </c>
      <c r="B22" s="165">
        <v>42499</v>
      </c>
      <c r="C22" s="164"/>
      <c r="D22" s="164"/>
      <c r="E22" s="164"/>
      <c r="F22" s="164"/>
      <c r="G22" s="164"/>
      <c r="H22" s="164"/>
      <c r="I22" s="164"/>
    </row>
    <row r="23" spans="1:14" ht="26.25" customHeight="1" x14ac:dyDescent="0.4">
      <c r="A23" s="63" t="s">
        <v>38</v>
      </c>
      <c r="B23" s="165">
        <v>42502</v>
      </c>
      <c r="C23" s="164"/>
      <c r="D23" s="164"/>
      <c r="E23" s="164"/>
      <c r="F23" s="164"/>
      <c r="G23" s="164"/>
      <c r="H23" s="164"/>
      <c r="I23" s="164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77" t="s">
        <v>119</v>
      </c>
      <c r="C26" s="378"/>
    </row>
    <row r="27" spans="1:14" ht="26.25" customHeight="1" x14ac:dyDescent="0.4">
      <c r="A27" s="68" t="s">
        <v>45</v>
      </c>
      <c r="B27" s="379" t="s">
        <v>109</v>
      </c>
      <c r="C27" s="379"/>
    </row>
    <row r="28" spans="1:14" ht="27" customHeight="1" x14ac:dyDescent="0.4">
      <c r="A28" s="68" t="s">
        <v>6</v>
      </c>
      <c r="B28" s="163">
        <v>99.8</v>
      </c>
    </row>
    <row r="29" spans="1:14" s="3" customFormat="1" ht="27" customHeight="1" x14ac:dyDescent="0.4">
      <c r="A29" s="68" t="s">
        <v>46</v>
      </c>
      <c r="B29" s="162">
        <v>0</v>
      </c>
      <c r="C29" s="390" t="s">
        <v>47</v>
      </c>
      <c r="D29" s="391"/>
      <c r="E29" s="391"/>
      <c r="F29" s="391"/>
      <c r="G29" s="391"/>
      <c r="H29" s="392"/>
      <c r="I29" s="70"/>
      <c r="J29" s="70"/>
      <c r="K29" s="70"/>
      <c r="L29" s="70"/>
    </row>
    <row r="30" spans="1:14" s="3" customFormat="1" ht="19.5" customHeight="1" x14ac:dyDescent="0.3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49</v>
      </c>
      <c r="B31" s="182">
        <v>1</v>
      </c>
      <c r="C31" s="393" t="s">
        <v>50</v>
      </c>
      <c r="D31" s="394"/>
      <c r="E31" s="394"/>
      <c r="F31" s="394"/>
      <c r="G31" s="394"/>
      <c r="H31" s="395"/>
      <c r="I31" s="70"/>
      <c r="J31" s="70"/>
      <c r="K31" s="70"/>
      <c r="L31" s="70"/>
    </row>
    <row r="32" spans="1:14" s="3" customFormat="1" ht="27" customHeight="1" x14ac:dyDescent="0.4">
      <c r="A32" s="68" t="s">
        <v>51</v>
      </c>
      <c r="B32" s="182">
        <v>1</v>
      </c>
      <c r="C32" s="393" t="s">
        <v>52</v>
      </c>
      <c r="D32" s="394"/>
      <c r="E32" s="394"/>
      <c r="F32" s="394"/>
      <c r="G32" s="394"/>
      <c r="H32" s="395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55</v>
      </c>
      <c r="B36" s="166">
        <v>50</v>
      </c>
      <c r="C36" s="62"/>
      <c r="D36" s="381" t="s">
        <v>56</v>
      </c>
      <c r="E36" s="382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62</v>
      </c>
      <c r="B38" s="167">
        <v>20</v>
      </c>
      <c r="C38" s="84">
        <v>1</v>
      </c>
      <c r="D38" s="168">
        <v>212906811</v>
      </c>
      <c r="E38" s="128">
        <f>IF(ISBLANK(D38),"-",$D$48/$D$45*D38)</f>
        <v>212668887.68190584</v>
      </c>
      <c r="F38" s="168">
        <v>237001468</v>
      </c>
      <c r="G38" s="120">
        <f>IF(ISBLANK(F38),"-",$D$48/$F$45*F38)</f>
        <v>214304722.69977066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7">
        <v>1</v>
      </c>
      <c r="C39" s="80">
        <v>2</v>
      </c>
      <c r="D39" s="169">
        <v>213646220</v>
      </c>
      <c r="E39" s="129">
        <f>IF(ISBLANK(D39),"-",$D$48/$D$45*D39)</f>
        <v>213407470.39249837</v>
      </c>
      <c r="F39" s="169">
        <v>238020777</v>
      </c>
      <c r="G39" s="121">
        <f>IF(ISBLANK(F39),"-",$D$48/$F$45*F39)</f>
        <v>215226416.28434533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64</v>
      </c>
      <c r="B40" s="167">
        <v>1</v>
      </c>
      <c r="C40" s="80">
        <v>3</v>
      </c>
      <c r="D40" s="169">
        <v>213956239</v>
      </c>
      <c r="E40" s="129">
        <f>IF(ISBLANK(D40),"-",$D$48/$D$45*D40)</f>
        <v>213717142.94632879</v>
      </c>
      <c r="F40" s="169">
        <v>238135844</v>
      </c>
      <c r="G40" s="121">
        <f>IF(ISBLANK(F40),"-",$D$48/$F$45*F40)</f>
        <v>215330463.74757412</v>
      </c>
      <c r="L40" s="74"/>
      <c r="M40" s="74"/>
      <c r="N40" s="85"/>
    </row>
    <row r="41" spans="1:14" ht="26.25" customHeight="1" x14ac:dyDescent="0.4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66</v>
      </c>
      <c r="B42" s="167">
        <v>1</v>
      </c>
      <c r="C42" s="87" t="s">
        <v>67</v>
      </c>
      <c r="D42" s="148">
        <f>AVERAGE(D38:D41)</f>
        <v>213503090</v>
      </c>
      <c r="E42" s="110">
        <f>AVERAGE(E38:E41)</f>
        <v>213264500.34024432</v>
      </c>
      <c r="F42" s="88">
        <f>AVERAGE(F38:F41)</f>
        <v>237719363</v>
      </c>
      <c r="G42" s="89">
        <f>AVERAGE(G38:G41)</f>
        <v>214953867.57723001</v>
      </c>
    </row>
    <row r="43" spans="1:14" ht="26.25" customHeight="1" x14ac:dyDescent="0.4">
      <c r="A43" s="79" t="s">
        <v>68</v>
      </c>
      <c r="B43" s="163">
        <v>1</v>
      </c>
      <c r="C43" s="149" t="s">
        <v>69</v>
      </c>
      <c r="D43" s="172">
        <v>16.05</v>
      </c>
      <c r="E43" s="85"/>
      <c r="F43" s="171">
        <v>17.73</v>
      </c>
      <c r="G43" s="126"/>
    </row>
    <row r="44" spans="1:14" ht="26.25" customHeight="1" x14ac:dyDescent="0.4">
      <c r="A44" s="79" t="s">
        <v>70</v>
      </c>
      <c r="B44" s="163">
        <v>1</v>
      </c>
      <c r="C44" s="150" t="s">
        <v>71</v>
      </c>
      <c r="D44" s="151">
        <f>D43*$B$34</f>
        <v>16.05</v>
      </c>
      <c r="E44" s="91"/>
      <c r="F44" s="90">
        <f>F43*$B$34</f>
        <v>17.73</v>
      </c>
      <c r="G44" s="93"/>
    </row>
    <row r="45" spans="1:14" ht="19.5" customHeight="1" x14ac:dyDescent="0.3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16.017900000000001</v>
      </c>
      <c r="E45" s="93"/>
      <c r="F45" s="92">
        <f>F44*$B$30/100</f>
        <v>17.69454</v>
      </c>
      <c r="G45" s="93"/>
    </row>
    <row r="46" spans="1:14" ht="19.5" customHeight="1" x14ac:dyDescent="0.3">
      <c r="A46" s="383" t="s">
        <v>74</v>
      </c>
      <c r="B46" s="388"/>
      <c r="C46" s="150" t="s">
        <v>75</v>
      </c>
      <c r="D46" s="151">
        <f>D45/$B$45</f>
        <v>0.16017900000000002</v>
      </c>
      <c r="E46" s="93"/>
      <c r="F46" s="94">
        <f>F45/$B$45</f>
        <v>0.1769454</v>
      </c>
      <c r="G46" s="93"/>
    </row>
    <row r="47" spans="1:14" ht="27" customHeight="1" x14ac:dyDescent="0.4">
      <c r="A47" s="385"/>
      <c r="B47" s="389"/>
      <c r="C47" s="150" t="s">
        <v>76</v>
      </c>
      <c r="D47" s="173">
        <v>0.16</v>
      </c>
      <c r="E47" s="126"/>
      <c r="F47" s="126"/>
      <c r="G47" s="126"/>
    </row>
    <row r="48" spans="1:14" ht="18.75" x14ac:dyDescent="0.3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78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79</v>
      </c>
      <c r="D50" s="156">
        <f>AVERAGE(E38:E41,G38:G41)</f>
        <v>214109183.95873716</v>
      </c>
      <c r="E50" s="111"/>
      <c r="F50" s="111"/>
      <c r="G50" s="111"/>
    </row>
    <row r="51" spans="1:12" ht="18.75" x14ac:dyDescent="0.3">
      <c r="C51" s="95" t="s">
        <v>80</v>
      </c>
      <c r="D51" s="98">
        <f>STDEV(E38:E41,G38:G41)/D50</f>
        <v>4.8978172464295101E-3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81</v>
      </c>
    </row>
    <row r="55" spans="1:12" ht="18.75" x14ac:dyDescent="0.3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 x14ac:dyDescent="0.4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 x14ac:dyDescent="0.3">
      <c r="A57" s="64" t="s">
        <v>85</v>
      </c>
      <c r="B57" s="185">
        <f>RD!C39</f>
        <v>1.1511434216734691</v>
      </c>
    </row>
    <row r="58" spans="1:12" s="27" customFormat="1" ht="18.75" x14ac:dyDescent="0.3">
      <c r="A58" s="137" t="s">
        <v>86</v>
      </c>
      <c r="B58" s="138">
        <f>B56</f>
        <v>5</v>
      </c>
      <c r="C58" s="139" t="s">
        <v>87</v>
      </c>
      <c r="D58" s="159">
        <f>B57*B56</f>
        <v>5.7557171083673451</v>
      </c>
    </row>
    <row r="59" spans="1:12" ht="19.5" customHeight="1" x14ac:dyDescent="0.25"/>
    <row r="60" spans="1:12" s="3" customFormat="1" ht="27" customHeight="1" x14ac:dyDescent="0.4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 x14ac:dyDescent="0.4">
      <c r="A61" s="79" t="s">
        <v>93</v>
      </c>
      <c r="B61" s="167">
        <v>2</v>
      </c>
      <c r="C61" s="399" t="s">
        <v>94</v>
      </c>
      <c r="D61" s="396">
        <v>9.9786900000000003</v>
      </c>
      <c r="E61" s="132">
        <v>1</v>
      </c>
      <c r="F61" s="176">
        <v>188402807</v>
      </c>
      <c r="G61" s="143">
        <f>IF(ISBLANK(F61),"-",(F61/$D$50*$D$47*$B$69)*$D$58/$D$61)</f>
        <v>203.0196026865396</v>
      </c>
      <c r="H61" s="140">
        <f t="shared" ref="H61:H72" si="0">IF(ISBLANK(F61),"-",G61/$D$56)</f>
        <v>1.0150980134326979</v>
      </c>
      <c r="L61" s="70"/>
    </row>
    <row r="62" spans="1:12" s="3" customFormat="1" ht="26.25" customHeight="1" x14ac:dyDescent="0.4">
      <c r="A62" s="79" t="s">
        <v>95</v>
      </c>
      <c r="B62" s="167">
        <v>50</v>
      </c>
      <c r="C62" s="400"/>
      <c r="D62" s="397"/>
      <c r="E62" s="133">
        <v>2</v>
      </c>
      <c r="F62" s="169">
        <v>188112104</v>
      </c>
      <c r="G62" s="144">
        <f>IF(ISBLANK(F62),"-",(F62/$D$50*$D$47*$B$69)*$D$58/$D$61)</f>
        <v>202.70634616717263</v>
      </c>
      <c r="H62" s="141">
        <f t="shared" si="0"/>
        <v>1.0135317308358631</v>
      </c>
      <c r="L62" s="70"/>
    </row>
    <row r="63" spans="1:12" s="3" customFormat="1" ht="24.75" customHeight="1" x14ac:dyDescent="0.4">
      <c r="A63" s="79" t="s">
        <v>96</v>
      </c>
      <c r="B63" s="167">
        <v>1</v>
      </c>
      <c r="C63" s="400"/>
      <c r="D63" s="397"/>
      <c r="E63" s="133">
        <v>3</v>
      </c>
      <c r="F63" s="169">
        <v>188769493</v>
      </c>
      <c r="G63" s="144">
        <f>IF(ISBLANK(F63),"-",(F63/$D$50*$D$47*$B$69)*$D$58/$D$61)</f>
        <v>203.41473717108425</v>
      </c>
      <c r="H63" s="141">
        <f t="shared" si="0"/>
        <v>1.0170736858554212</v>
      </c>
      <c r="L63" s="70"/>
    </row>
    <row r="64" spans="1:12" ht="27" customHeight="1" thickBot="1" x14ac:dyDescent="0.45">
      <c r="A64" s="79" t="s">
        <v>97</v>
      </c>
      <c r="B64" s="167">
        <v>1</v>
      </c>
      <c r="C64" s="401"/>
      <c r="D64" s="398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98</v>
      </c>
      <c r="B65" s="167">
        <v>1</v>
      </c>
      <c r="C65" s="399" t="s">
        <v>99</v>
      </c>
      <c r="D65" s="396">
        <v>9.8914000000000009</v>
      </c>
      <c r="E65" s="103">
        <v>1</v>
      </c>
      <c r="F65" s="303">
        <v>182726034</v>
      </c>
      <c r="G65" s="143">
        <f>IF(ISBLANK(F65),"-",(F65/$D$50*$D$47*$B$69)*$D$58/$D$65)</f>
        <v>198.64004221522737</v>
      </c>
      <c r="H65" s="140">
        <f t="shared" si="0"/>
        <v>0.99320021107613687</v>
      </c>
    </row>
    <row r="66" spans="1:11" ht="23.25" customHeight="1" x14ac:dyDescent="0.4">
      <c r="A66" s="79" t="s">
        <v>100</v>
      </c>
      <c r="B66" s="167">
        <v>1</v>
      </c>
      <c r="C66" s="400"/>
      <c r="D66" s="397"/>
      <c r="E66" s="104">
        <v>2</v>
      </c>
      <c r="F66" s="169">
        <v>183101418</v>
      </c>
      <c r="G66" s="144">
        <f>IF(ISBLANK(F66),"-",(F66/$D$50*$D$47*$B$69)*$D$58/$D$65)</f>
        <v>199.04811922524402</v>
      </c>
      <c r="H66" s="141">
        <f t="shared" si="0"/>
        <v>0.99524059612622007</v>
      </c>
    </row>
    <row r="67" spans="1:11" ht="24.75" customHeight="1" x14ac:dyDescent="0.4">
      <c r="A67" s="79" t="s">
        <v>101</v>
      </c>
      <c r="B67" s="167">
        <v>1</v>
      </c>
      <c r="C67" s="400"/>
      <c r="D67" s="397"/>
      <c r="E67" s="104">
        <v>3</v>
      </c>
      <c r="F67" s="169">
        <v>183432791</v>
      </c>
      <c r="G67" s="144">
        <f>IF(ISBLANK(F67),"-",(F67/$D$50*$D$47*$B$69)*$D$58/$D$65)</f>
        <v>199.40835222142994</v>
      </c>
      <c r="H67" s="141">
        <f t="shared" si="0"/>
        <v>0.9970417611071497</v>
      </c>
    </row>
    <row r="68" spans="1:11" ht="27" customHeight="1" x14ac:dyDescent="0.4">
      <c r="A68" s="79" t="s">
        <v>102</v>
      </c>
      <c r="B68" s="167">
        <v>1</v>
      </c>
      <c r="C68" s="401"/>
      <c r="D68" s="398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103</v>
      </c>
      <c r="B69" s="146">
        <f>(B68/B67)*(B66/B65)*(B64/B63)*(B62/B61)*B60</f>
        <v>2500</v>
      </c>
      <c r="C69" s="399" t="s">
        <v>104</v>
      </c>
      <c r="D69" s="396">
        <v>9.9416200000000003</v>
      </c>
      <c r="E69" s="103">
        <v>1</v>
      </c>
      <c r="F69" s="303">
        <v>184816796</v>
      </c>
      <c r="G69" s="143">
        <f>IF(ISBLANK(F69),"-",(F69/$D$50*$D$47*$B$69)*$D$58/$D$69)</f>
        <v>199.89798363876167</v>
      </c>
      <c r="H69" s="141">
        <f t="shared" si="0"/>
        <v>0.99948991819380839</v>
      </c>
    </row>
    <row r="70" spans="1:11" ht="22.5" customHeight="1" x14ac:dyDescent="0.4">
      <c r="A70" s="157" t="s">
        <v>105</v>
      </c>
      <c r="B70" s="178">
        <f>(D47*B69)/D56*D58</f>
        <v>11.51143421673469</v>
      </c>
      <c r="C70" s="400"/>
      <c r="D70" s="397"/>
      <c r="E70" s="104">
        <v>2</v>
      </c>
      <c r="F70" s="169">
        <v>185451801</v>
      </c>
      <c r="G70" s="144">
        <f>IF(ISBLANK(F70),"-",(F70/$D$50*$D$47*$B$69)*$D$58/$D$69)</f>
        <v>200.58480551776731</v>
      </c>
      <c r="H70" s="141">
        <f t="shared" si="0"/>
        <v>1.0029240275888365</v>
      </c>
    </row>
    <row r="71" spans="1:11" ht="23.25" customHeight="1" x14ac:dyDescent="0.4">
      <c r="A71" s="383" t="s">
        <v>74</v>
      </c>
      <c r="B71" s="384"/>
      <c r="C71" s="400"/>
      <c r="D71" s="397"/>
      <c r="E71" s="104">
        <v>3</v>
      </c>
      <c r="F71" s="169">
        <v>185477891</v>
      </c>
      <c r="G71" s="144">
        <f>IF(ISBLANK(F71),"-",(F71/$D$50*$D$47*$B$69)*$D$58/$D$69)</f>
        <v>200.61302448111917</v>
      </c>
      <c r="H71" s="141">
        <f t="shared" si="0"/>
        <v>1.0030651224055958</v>
      </c>
    </row>
    <row r="72" spans="1:11" ht="23.25" customHeight="1" x14ac:dyDescent="0.4">
      <c r="A72" s="385"/>
      <c r="B72" s="386"/>
      <c r="C72" s="402"/>
      <c r="D72" s="398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1.0040738962913034</v>
      </c>
    </row>
    <row r="74" spans="1:11" ht="26.25" customHeight="1" x14ac:dyDescent="0.4">
      <c r="C74" s="106"/>
      <c r="D74" s="106"/>
      <c r="E74" s="106"/>
      <c r="F74" s="107"/>
      <c r="G74" s="95" t="s">
        <v>80</v>
      </c>
      <c r="H74" s="180">
        <f>STDEV(H61:H72)/H73</f>
        <v>8.970702390522332E-3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106</v>
      </c>
      <c r="B77" s="183" t="s">
        <v>107</v>
      </c>
      <c r="C77" s="380" t="str">
        <f>B20</f>
        <v>Sulphamethoxazole &amp; Trimethoprim</v>
      </c>
      <c r="D77" s="380"/>
      <c r="E77" s="131" t="s">
        <v>108</v>
      </c>
      <c r="F77" s="131"/>
      <c r="G77" s="184">
        <f>H73</f>
        <v>1.0040738962913034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24</v>
      </c>
      <c r="E79" s="107" t="s">
        <v>25</v>
      </c>
      <c r="F79" s="107"/>
      <c r="G79" s="107" t="s">
        <v>26</v>
      </c>
    </row>
    <row r="80" spans="1:11" ht="83.1" customHeight="1" x14ac:dyDescent="0.3">
      <c r="A80" s="113" t="s">
        <v>27</v>
      </c>
      <c r="B80" s="363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" zoomScale="55" zoomScaleNormal="75" workbookViewId="0">
      <selection activeCell="B19" sqref="B1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4" t="s">
        <v>29</v>
      </c>
      <c r="B1" s="374"/>
      <c r="C1" s="374"/>
      <c r="D1" s="374"/>
      <c r="E1" s="374"/>
      <c r="F1" s="374"/>
      <c r="G1" s="374"/>
      <c r="H1" s="374"/>
    </row>
    <row r="2" spans="1:8" x14ac:dyDescent="0.25">
      <c r="A2" s="374"/>
      <c r="B2" s="374"/>
      <c r="C2" s="374"/>
      <c r="D2" s="374"/>
      <c r="E2" s="374"/>
      <c r="F2" s="374"/>
      <c r="G2" s="374"/>
      <c r="H2" s="374"/>
    </row>
    <row r="3" spans="1:8" x14ac:dyDescent="0.25">
      <c r="A3" s="374"/>
      <c r="B3" s="374"/>
      <c r="C3" s="374"/>
      <c r="D3" s="374"/>
      <c r="E3" s="374"/>
      <c r="F3" s="374"/>
      <c r="G3" s="374"/>
      <c r="H3" s="374"/>
    </row>
    <row r="4" spans="1:8" x14ac:dyDescent="0.25">
      <c r="A4" s="374"/>
      <c r="B4" s="374"/>
      <c r="C4" s="374"/>
      <c r="D4" s="374"/>
      <c r="E4" s="374"/>
      <c r="F4" s="374"/>
      <c r="G4" s="374"/>
      <c r="H4" s="374"/>
    </row>
    <row r="5" spans="1:8" x14ac:dyDescent="0.25">
      <c r="A5" s="374"/>
      <c r="B5" s="374"/>
      <c r="C5" s="374"/>
      <c r="D5" s="374"/>
      <c r="E5" s="374"/>
      <c r="F5" s="374"/>
      <c r="G5" s="374"/>
      <c r="H5" s="374"/>
    </row>
    <row r="6" spans="1:8" x14ac:dyDescent="0.25">
      <c r="A6" s="374"/>
      <c r="B6" s="374"/>
      <c r="C6" s="374"/>
      <c r="D6" s="374"/>
      <c r="E6" s="374"/>
      <c r="F6" s="374"/>
      <c r="G6" s="374"/>
      <c r="H6" s="374"/>
    </row>
    <row r="7" spans="1:8" x14ac:dyDescent="0.25">
      <c r="A7" s="374"/>
      <c r="B7" s="374"/>
      <c r="C7" s="374"/>
      <c r="D7" s="374"/>
      <c r="E7" s="374"/>
      <c r="F7" s="374"/>
      <c r="G7" s="374"/>
      <c r="H7" s="374"/>
    </row>
    <row r="8" spans="1:8" x14ac:dyDescent="0.25">
      <c r="A8" s="375" t="s">
        <v>30</v>
      </c>
      <c r="B8" s="375"/>
      <c r="C8" s="375"/>
      <c r="D8" s="375"/>
      <c r="E8" s="375"/>
      <c r="F8" s="375"/>
      <c r="G8" s="375"/>
      <c r="H8" s="375"/>
    </row>
    <row r="9" spans="1:8" x14ac:dyDescent="0.25">
      <c r="A9" s="375"/>
      <c r="B9" s="375"/>
      <c r="C9" s="375"/>
      <c r="D9" s="375"/>
      <c r="E9" s="375"/>
      <c r="F9" s="375"/>
      <c r="G9" s="375"/>
      <c r="H9" s="375"/>
    </row>
    <row r="10" spans="1:8" x14ac:dyDescent="0.25">
      <c r="A10" s="375"/>
      <c r="B10" s="375"/>
      <c r="C10" s="375"/>
      <c r="D10" s="375"/>
      <c r="E10" s="375"/>
      <c r="F10" s="375"/>
      <c r="G10" s="375"/>
      <c r="H10" s="375"/>
    </row>
    <row r="11" spans="1:8" x14ac:dyDescent="0.25">
      <c r="A11" s="375"/>
      <c r="B11" s="375"/>
      <c r="C11" s="375"/>
      <c r="D11" s="375"/>
      <c r="E11" s="375"/>
      <c r="F11" s="375"/>
      <c r="G11" s="375"/>
      <c r="H11" s="375"/>
    </row>
    <row r="12" spans="1:8" x14ac:dyDescent="0.25">
      <c r="A12" s="375"/>
      <c r="B12" s="375"/>
      <c r="C12" s="375"/>
      <c r="D12" s="375"/>
      <c r="E12" s="375"/>
      <c r="F12" s="375"/>
      <c r="G12" s="375"/>
      <c r="H12" s="375"/>
    </row>
    <row r="13" spans="1:8" x14ac:dyDescent="0.25">
      <c r="A13" s="375"/>
      <c r="B13" s="375"/>
      <c r="C13" s="375"/>
      <c r="D13" s="375"/>
      <c r="E13" s="375"/>
      <c r="F13" s="375"/>
      <c r="G13" s="375"/>
      <c r="H13" s="375"/>
    </row>
    <row r="14" spans="1:8" x14ac:dyDescent="0.25">
      <c r="A14" s="375"/>
      <c r="B14" s="375"/>
      <c r="C14" s="375"/>
      <c r="D14" s="375"/>
      <c r="E14" s="375"/>
      <c r="F14" s="375"/>
      <c r="G14" s="375"/>
      <c r="H14" s="375"/>
    </row>
    <row r="15" spans="1:8" ht="19.5" customHeight="1" x14ac:dyDescent="0.25"/>
    <row r="16" spans="1:8" ht="19.5" customHeight="1" x14ac:dyDescent="0.3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76" t="s">
        <v>44</v>
      </c>
      <c r="B17" s="376"/>
      <c r="C17" s="376"/>
      <c r="D17" s="376"/>
      <c r="E17" s="376"/>
      <c r="F17" s="376"/>
      <c r="G17" s="376"/>
      <c r="H17" s="376"/>
    </row>
    <row r="18" spans="1:14" ht="26.25" customHeight="1" x14ac:dyDescent="0.4">
      <c r="A18" s="189" t="s">
        <v>33</v>
      </c>
      <c r="B18" s="377" t="s">
        <v>5</v>
      </c>
      <c r="C18" s="378"/>
    </row>
    <row r="19" spans="1:14" ht="26.25" customHeight="1" x14ac:dyDescent="0.4">
      <c r="A19" s="189" t="s">
        <v>34</v>
      </c>
      <c r="B19" s="290" t="str">
        <f>Sulphamethoxazole!B19</f>
        <v>NDQB201605902</v>
      </c>
      <c r="C19" s="313">
        <v>25</v>
      </c>
    </row>
    <row r="20" spans="1:14" ht="26.25" customHeight="1" x14ac:dyDescent="0.4">
      <c r="A20" s="189" t="s">
        <v>35</v>
      </c>
      <c r="B20" s="362" t="s">
        <v>118</v>
      </c>
      <c r="C20" s="291"/>
    </row>
    <row r="21" spans="1:14" ht="26.25" customHeight="1" x14ac:dyDescent="0.4">
      <c r="A21" s="189" t="s">
        <v>36</v>
      </c>
      <c r="B21" s="387" t="s">
        <v>11</v>
      </c>
      <c r="C21" s="379"/>
      <c r="D21" s="379"/>
      <c r="E21" s="379"/>
      <c r="F21" s="379"/>
      <c r="G21" s="379"/>
      <c r="H21" s="379"/>
      <c r="I21" s="379"/>
    </row>
    <row r="22" spans="1:14" ht="26.25" customHeight="1" x14ac:dyDescent="0.4">
      <c r="A22" s="189" t="s">
        <v>37</v>
      </c>
      <c r="B22" s="292">
        <v>42499</v>
      </c>
      <c r="C22" s="291"/>
      <c r="D22" s="291"/>
      <c r="E22" s="291"/>
      <c r="F22" s="291"/>
      <c r="G22" s="291"/>
      <c r="H22" s="291"/>
      <c r="I22" s="291"/>
    </row>
    <row r="23" spans="1:14" ht="26.25" customHeight="1" x14ac:dyDescent="0.4">
      <c r="A23" s="189" t="s">
        <v>38</v>
      </c>
      <c r="B23" s="292">
        <v>42502</v>
      </c>
      <c r="C23" s="291"/>
      <c r="D23" s="291"/>
      <c r="E23" s="291"/>
      <c r="F23" s="291"/>
      <c r="G23" s="291"/>
      <c r="H23" s="291"/>
      <c r="I23" s="291"/>
    </row>
    <row r="24" spans="1:14" ht="18.75" x14ac:dyDescent="0.3">
      <c r="A24" s="189"/>
      <c r="B24" s="191"/>
    </row>
    <row r="25" spans="1:14" ht="18.75" x14ac:dyDescent="0.3">
      <c r="A25" s="187" t="s">
        <v>1</v>
      </c>
      <c r="B25" s="191"/>
    </row>
    <row r="26" spans="1:14" ht="26.25" customHeight="1" x14ac:dyDescent="0.4">
      <c r="A26" s="192" t="s">
        <v>4</v>
      </c>
      <c r="B26" s="377" t="s">
        <v>114</v>
      </c>
      <c r="C26" s="378"/>
    </row>
    <row r="27" spans="1:14" ht="26.25" customHeight="1" x14ac:dyDescent="0.4">
      <c r="A27" s="194" t="s">
        <v>45</v>
      </c>
      <c r="B27" s="379" t="s">
        <v>110</v>
      </c>
      <c r="C27" s="379"/>
    </row>
    <row r="28" spans="1:14" ht="27" customHeight="1" x14ac:dyDescent="0.4">
      <c r="A28" s="194" t="s">
        <v>6</v>
      </c>
      <c r="B28" s="289">
        <v>99.66</v>
      </c>
    </row>
    <row r="29" spans="1:14" s="3" customFormat="1" ht="27" customHeight="1" x14ac:dyDescent="0.4">
      <c r="A29" s="194" t="s">
        <v>46</v>
      </c>
      <c r="B29" s="288">
        <v>0</v>
      </c>
      <c r="C29" s="390" t="s">
        <v>47</v>
      </c>
      <c r="D29" s="391"/>
      <c r="E29" s="391"/>
      <c r="F29" s="391"/>
      <c r="G29" s="391"/>
      <c r="H29" s="392"/>
      <c r="I29" s="196"/>
      <c r="J29" s="196"/>
      <c r="K29" s="196"/>
      <c r="L29" s="196"/>
    </row>
    <row r="30" spans="1:14" s="3" customFormat="1" ht="19.5" customHeight="1" x14ac:dyDescent="0.3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 x14ac:dyDescent="0.4">
      <c r="A31" s="194" t="s">
        <v>49</v>
      </c>
      <c r="B31" s="309">
        <v>1</v>
      </c>
      <c r="C31" s="393" t="s">
        <v>50</v>
      </c>
      <c r="D31" s="394"/>
      <c r="E31" s="394"/>
      <c r="F31" s="394"/>
      <c r="G31" s="394"/>
      <c r="H31" s="395"/>
      <c r="I31" s="196"/>
      <c r="J31" s="196"/>
      <c r="K31" s="196"/>
      <c r="L31" s="196"/>
    </row>
    <row r="32" spans="1:14" s="3" customFormat="1" ht="27" customHeight="1" x14ac:dyDescent="0.4">
      <c r="A32" s="194" t="s">
        <v>51</v>
      </c>
      <c r="B32" s="309">
        <v>1</v>
      </c>
      <c r="C32" s="393" t="s">
        <v>52</v>
      </c>
      <c r="D32" s="394"/>
      <c r="E32" s="394"/>
      <c r="F32" s="394"/>
      <c r="G32" s="394"/>
      <c r="H32" s="395"/>
      <c r="I32" s="196"/>
      <c r="J32" s="196"/>
      <c r="K32" s="196"/>
      <c r="L32" s="200"/>
      <c r="M32" s="200"/>
      <c r="N32" s="201"/>
    </row>
    <row r="33" spans="1:14" s="3" customFormat="1" ht="17.25" customHeight="1" x14ac:dyDescent="0.3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 x14ac:dyDescent="0.3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 x14ac:dyDescent="0.3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 x14ac:dyDescent="0.4">
      <c r="A36" s="204" t="s">
        <v>55</v>
      </c>
      <c r="B36" s="293">
        <v>100</v>
      </c>
      <c r="C36" s="188"/>
      <c r="D36" s="381" t="s">
        <v>56</v>
      </c>
      <c r="E36" s="382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 x14ac:dyDescent="0.4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 x14ac:dyDescent="0.4">
      <c r="A38" s="205" t="s">
        <v>62</v>
      </c>
      <c r="B38" s="294">
        <v>20</v>
      </c>
      <c r="C38" s="210">
        <v>1</v>
      </c>
      <c r="D38" s="295">
        <v>19432373</v>
      </c>
      <c r="E38" s="254">
        <f>IF(ISBLANK(D38),"-",$D$48/$D$45*D38)</f>
        <v>15774425.259255253</v>
      </c>
      <c r="F38" s="295">
        <v>23562646</v>
      </c>
      <c r="G38" s="246">
        <f>IF(ISBLANK(F38),"-",$D$48/$F$45*F38)</f>
        <v>15737431.802710602</v>
      </c>
      <c r="J38" s="196"/>
      <c r="K38" s="196"/>
      <c r="L38" s="200"/>
      <c r="M38" s="200"/>
      <c r="N38" s="201"/>
    </row>
    <row r="39" spans="1:14" s="3" customFormat="1" ht="26.25" customHeight="1" x14ac:dyDescent="0.4">
      <c r="A39" s="205" t="s">
        <v>63</v>
      </c>
      <c r="B39" s="294">
        <v>1</v>
      </c>
      <c r="C39" s="206">
        <v>2</v>
      </c>
      <c r="D39" s="296">
        <v>19511215</v>
      </c>
      <c r="E39" s="255">
        <f>IF(ISBLANK(D39),"-",$D$48/$D$45*D39)</f>
        <v>15838426.049909599</v>
      </c>
      <c r="F39" s="296">
        <v>23660648</v>
      </c>
      <c r="G39" s="247">
        <f>IF(ISBLANK(F39),"-",$D$48/$F$45*F39)</f>
        <v>15802887.091201091</v>
      </c>
      <c r="J39" s="196"/>
      <c r="K39" s="196"/>
      <c r="L39" s="200"/>
      <c r="M39" s="200"/>
      <c r="N39" s="201"/>
    </row>
    <row r="40" spans="1:14" ht="26.25" customHeight="1" x14ac:dyDescent="0.4">
      <c r="A40" s="205" t="s">
        <v>64</v>
      </c>
      <c r="B40" s="294">
        <v>1</v>
      </c>
      <c r="C40" s="206">
        <v>3</v>
      </c>
      <c r="D40" s="296">
        <v>19482346</v>
      </c>
      <c r="E40" s="255">
        <f>IF(ISBLANK(D40),"-",$D$48/$D$45*D40)</f>
        <v>15814991.347271407</v>
      </c>
      <c r="F40" s="296">
        <v>23622441</v>
      </c>
      <c r="G40" s="247">
        <f>IF(ISBLANK(F40),"-",$D$48/$F$45*F40)</f>
        <v>15777368.732317027</v>
      </c>
      <c r="L40" s="200"/>
      <c r="M40" s="200"/>
      <c r="N40" s="211"/>
    </row>
    <row r="41" spans="1:14" ht="26.25" customHeight="1" x14ac:dyDescent="0.4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 x14ac:dyDescent="0.4">
      <c r="A42" s="205" t="s">
        <v>66</v>
      </c>
      <c r="B42" s="294">
        <v>1</v>
      </c>
      <c r="C42" s="213" t="s">
        <v>67</v>
      </c>
      <c r="D42" s="274">
        <f>AVERAGE(D38:D41)</f>
        <v>19475311.333333332</v>
      </c>
      <c r="E42" s="236">
        <f>AVERAGE(E38:E41)</f>
        <v>15809280.885478752</v>
      </c>
      <c r="F42" s="214">
        <f>AVERAGE(F38:F41)</f>
        <v>23615245</v>
      </c>
      <c r="G42" s="215">
        <f>AVERAGE(G38:G41)</f>
        <v>15772562.542076239</v>
      </c>
    </row>
    <row r="43" spans="1:14" ht="26.25" customHeight="1" x14ac:dyDescent="0.4">
      <c r="A43" s="205" t="s">
        <v>68</v>
      </c>
      <c r="B43" s="289">
        <v>1</v>
      </c>
      <c r="C43" s="275" t="s">
        <v>69</v>
      </c>
      <c r="D43" s="299">
        <v>26.37</v>
      </c>
      <c r="E43" s="211"/>
      <c r="F43" s="298">
        <v>32.049999999999997</v>
      </c>
      <c r="G43" s="252"/>
    </row>
    <row r="44" spans="1:14" ht="26.25" customHeight="1" x14ac:dyDescent="0.4">
      <c r="A44" s="205" t="s">
        <v>70</v>
      </c>
      <c r="B44" s="289">
        <v>1</v>
      </c>
      <c r="C44" s="276" t="s">
        <v>71</v>
      </c>
      <c r="D44" s="277">
        <f>D43*$B$34</f>
        <v>26.37</v>
      </c>
      <c r="E44" s="217"/>
      <c r="F44" s="216">
        <f>F43*$B$34</f>
        <v>32.049999999999997</v>
      </c>
      <c r="G44" s="219"/>
    </row>
    <row r="45" spans="1:14" ht="19.5" customHeight="1" x14ac:dyDescent="0.3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26.280342000000001</v>
      </c>
      <c r="E45" s="219"/>
      <c r="F45" s="218">
        <f>F44*$B$30/100</f>
        <v>31.941029999999998</v>
      </c>
      <c r="G45" s="219"/>
    </row>
    <row r="46" spans="1:14" ht="19.5" customHeight="1" x14ac:dyDescent="0.3">
      <c r="A46" s="383" t="s">
        <v>74</v>
      </c>
      <c r="B46" s="388"/>
      <c r="C46" s="276" t="s">
        <v>75</v>
      </c>
      <c r="D46" s="277">
        <f>D45/$B$45</f>
        <v>3.9420512999999997E-2</v>
      </c>
      <c r="E46" s="219"/>
      <c r="F46" s="220">
        <f>F45/$B$45</f>
        <v>4.7911544999999993E-2</v>
      </c>
      <c r="G46" s="219"/>
    </row>
    <row r="47" spans="1:14" ht="27" customHeight="1" x14ac:dyDescent="0.4">
      <c r="A47" s="385"/>
      <c r="B47" s="389"/>
      <c r="C47" s="276" t="s">
        <v>76</v>
      </c>
      <c r="D47" s="300">
        <v>3.2000000000000001E-2</v>
      </c>
      <c r="E47" s="252"/>
      <c r="F47" s="252"/>
      <c r="G47" s="252"/>
    </row>
    <row r="48" spans="1:14" ht="18.75" x14ac:dyDescent="0.3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 x14ac:dyDescent="0.3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 x14ac:dyDescent="0.3">
      <c r="C50" s="281" t="s">
        <v>79</v>
      </c>
      <c r="D50" s="282">
        <f>AVERAGE(E38:E41,G38:G41)</f>
        <v>15790921.713777497</v>
      </c>
      <c r="E50" s="237"/>
      <c r="F50" s="237"/>
      <c r="G50" s="237"/>
    </row>
    <row r="51" spans="1:12" ht="18.75" x14ac:dyDescent="0.3">
      <c r="C51" s="221" t="s">
        <v>80</v>
      </c>
      <c r="D51" s="224">
        <f>STDEV(E38:E41,G38:G41)/D50</f>
        <v>2.2472201221971225E-3</v>
      </c>
      <c r="E51" s="217"/>
      <c r="F51" s="217"/>
      <c r="G51" s="217"/>
    </row>
    <row r="52" spans="1:12" ht="19.5" customHeight="1" x14ac:dyDescent="0.3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 x14ac:dyDescent="0.3">
      <c r="A54" s="187" t="s">
        <v>1</v>
      </c>
      <c r="B54" s="226" t="s">
        <v>81</v>
      </c>
    </row>
    <row r="55" spans="1:12" ht="18.75" x14ac:dyDescent="0.3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 x14ac:dyDescent="0.4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 x14ac:dyDescent="0.3">
      <c r="A57" s="190" t="s">
        <v>85</v>
      </c>
      <c r="B57" s="312">
        <f>RD!C39</f>
        <v>1.1511434216734691</v>
      </c>
    </row>
    <row r="58" spans="1:12" s="27" customFormat="1" ht="18.75" x14ac:dyDescent="0.3">
      <c r="A58" s="263" t="s">
        <v>86</v>
      </c>
      <c r="B58" s="264">
        <f>B56</f>
        <v>5</v>
      </c>
      <c r="C58" s="265" t="s">
        <v>87</v>
      </c>
      <c r="D58" s="285">
        <f>B57*B56</f>
        <v>5.7557171083673451</v>
      </c>
    </row>
    <row r="59" spans="1:12" ht="19.5" customHeight="1" x14ac:dyDescent="0.25"/>
    <row r="60" spans="1:12" s="3" customFormat="1" ht="27" customHeight="1" x14ac:dyDescent="0.4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 x14ac:dyDescent="0.4">
      <c r="A61" s="205" t="s">
        <v>93</v>
      </c>
      <c r="B61" s="294">
        <v>2</v>
      </c>
      <c r="C61" s="399" t="s">
        <v>94</v>
      </c>
      <c r="D61" s="396">
        <f>Sulphamethoxazole!D61:D64</f>
        <v>9.9786900000000003</v>
      </c>
      <c r="E61" s="258">
        <v>1</v>
      </c>
      <c r="F61" s="303">
        <v>14019959</v>
      </c>
      <c r="G61" s="269">
        <f>IF(ISBLANK(F61),"-",(F61/$D$50*$D$47*$B$69)*$D$58/$D$61)</f>
        <v>40.968980755836448</v>
      </c>
      <c r="H61" s="266">
        <f t="shared" ref="H61:H72" si="0">IF(ISBLANK(F61),"-",G61/$D$56)</f>
        <v>1.0242245188959112</v>
      </c>
      <c r="L61" s="196"/>
    </row>
    <row r="62" spans="1:12" s="3" customFormat="1" ht="26.25" customHeight="1" x14ac:dyDescent="0.4">
      <c r="A62" s="205" t="s">
        <v>95</v>
      </c>
      <c r="B62" s="294">
        <v>50</v>
      </c>
      <c r="C62" s="400"/>
      <c r="D62" s="397"/>
      <c r="E62" s="259">
        <v>2</v>
      </c>
      <c r="F62" s="296">
        <v>14025046</v>
      </c>
      <c r="G62" s="270">
        <f>IF(ISBLANK(F62),"-",(F62/$D$50*$D$47*$B$69)*$D$58/$D$61)</f>
        <v>40.983845935192882</v>
      </c>
      <c r="H62" s="267">
        <f t="shared" si="0"/>
        <v>1.024596148379822</v>
      </c>
      <c r="L62" s="196"/>
    </row>
    <row r="63" spans="1:12" s="3" customFormat="1" ht="24.75" customHeight="1" x14ac:dyDescent="0.4">
      <c r="A63" s="205" t="s">
        <v>96</v>
      </c>
      <c r="B63" s="294">
        <v>1</v>
      </c>
      <c r="C63" s="400"/>
      <c r="D63" s="397"/>
      <c r="E63" s="259">
        <v>3</v>
      </c>
      <c r="F63" s="296">
        <v>14063718</v>
      </c>
      <c r="G63" s="270">
        <f>IF(ISBLANK(F63),"-",(F63/$D$50*$D$47*$B$69)*$D$58/$D$61)</f>
        <v>41.09685285795134</v>
      </c>
      <c r="H63" s="267">
        <f t="shared" si="0"/>
        <v>1.0274213214487835</v>
      </c>
      <c r="L63" s="196"/>
    </row>
    <row r="64" spans="1:12" ht="27" customHeight="1" x14ac:dyDescent="0.4">
      <c r="A64" s="205" t="s">
        <v>97</v>
      </c>
      <c r="B64" s="294">
        <v>1</v>
      </c>
      <c r="C64" s="401"/>
      <c r="D64" s="398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 x14ac:dyDescent="0.4">
      <c r="A65" s="205" t="s">
        <v>98</v>
      </c>
      <c r="B65" s="294">
        <v>1</v>
      </c>
      <c r="C65" s="399" t="s">
        <v>99</v>
      </c>
      <c r="D65" s="396">
        <f>Sulphamethoxazole!D65:D68</f>
        <v>9.8914000000000009</v>
      </c>
      <c r="E65" s="229">
        <v>1</v>
      </c>
      <c r="F65" s="296">
        <v>13659630</v>
      </c>
      <c r="G65" s="269">
        <f>IF(ISBLANK(F65),"-",(F65/$D$50*$D$47*$B$69)*$D$58/$D$65)</f>
        <v>40.2682835355062</v>
      </c>
      <c r="H65" s="266">
        <f t="shared" si="0"/>
        <v>1.006707088387655</v>
      </c>
    </row>
    <row r="66" spans="1:11" ht="23.25" customHeight="1" x14ac:dyDescent="0.4">
      <c r="A66" s="205" t="s">
        <v>100</v>
      </c>
      <c r="B66" s="294">
        <v>1</v>
      </c>
      <c r="C66" s="400"/>
      <c r="D66" s="397"/>
      <c r="E66" s="230">
        <v>2</v>
      </c>
      <c r="F66" s="296">
        <v>13682702</v>
      </c>
      <c r="G66" s="270">
        <f>IF(ISBLANK(F66),"-",(F66/$D$50*$D$47*$B$69)*$D$58/$D$65)</f>
        <v>40.336299275151504</v>
      </c>
      <c r="H66" s="267">
        <f t="shared" si="0"/>
        <v>1.0084074818787876</v>
      </c>
    </row>
    <row r="67" spans="1:11" ht="24.75" customHeight="1" x14ac:dyDescent="0.4">
      <c r="A67" s="205" t="s">
        <v>101</v>
      </c>
      <c r="B67" s="294">
        <v>1</v>
      </c>
      <c r="C67" s="400"/>
      <c r="D67" s="397"/>
      <c r="E67" s="230">
        <v>3</v>
      </c>
      <c r="F67" s="296">
        <v>13718304</v>
      </c>
      <c r="G67" s="270">
        <f>IF(ISBLANK(F67),"-",(F67/$D$50*$D$47*$B$69)*$D$58/$D$65)</f>
        <v>40.441253174373593</v>
      </c>
      <c r="H67" s="267">
        <f t="shared" si="0"/>
        <v>1.0110313293593398</v>
      </c>
    </row>
    <row r="68" spans="1:11" ht="27" customHeight="1" x14ac:dyDescent="0.4">
      <c r="A68" s="205" t="s">
        <v>102</v>
      </c>
      <c r="B68" s="294">
        <v>1</v>
      </c>
      <c r="C68" s="401"/>
      <c r="D68" s="398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 x14ac:dyDescent="0.4">
      <c r="A69" s="205" t="s">
        <v>103</v>
      </c>
      <c r="B69" s="272">
        <f>(B68/B67)*(B66/B65)*(B64/B63)*(B62/B61)*B60</f>
        <v>2500</v>
      </c>
      <c r="C69" s="399" t="s">
        <v>104</v>
      </c>
      <c r="D69" s="396">
        <f>Sulphamethoxazole!D69:D72</f>
        <v>9.9416200000000003</v>
      </c>
      <c r="E69" s="229">
        <v>1</v>
      </c>
      <c r="F69" s="303">
        <v>13785300</v>
      </c>
      <c r="G69" s="269">
        <f>IF(ISBLANK(F69),"-",(F69/$D$50*$D$47*$B$69)*$D$58/$D$69)</f>
        <v>40.433469589568034</v>
      </c>
      <c r="H69" s="267">
        <f t="shared" si="0"/>
        <v>1.0108367397392009</v>
      </c>
    </row>
    <row r="70" spans="1:11" ht="22.5" customHeight="1" x14ac:dyDescent="0.4">
      <c r="A70" s="283" t="s">
        <v>105</v>
      </c>
      <c r="B70" s="305">
        <f>(D47*B69)/D56*D58</f>
        <v>11.51143421673469</v>
      </c>
      <c r="C70" s="400"/>
      <c r="D70" s="397"/>
      <c r="E70" s="230">
        <v>2</v>
      </c>
      <c r="F70" s="296">
        <v>13815224</v>
      </c>
      <c r="G70" s="270">
        <f>IF(ISBLANK(F70),"-",(F70/$D$50*$D$47*$B$69)*$D$58/$D$69)</f>
        <v>40.521239253195098</v>
      </c>
      <c r="H70" s="267">
        <f t="shared" si="0"/>
        <v>1.0130309813298775</v>
      </c>
    </row>
    <row r="71" spans="1:11" ht="23.25" customHeight="1" x14ac:dyDescent="0.4">
      <c r="A71" s="383" t="s">
        <v>74</v>
      </c>
      <c r="B71" s="384"/>
      <c r="C71" s="400"/>
      <c r="D71" s="397"/>
      <c r="E71" s="230">
        <v>3</v>
      </c>
      <c r="F71" s="296">
        <v>13849124</v>
      </c>
      <c r="G71" s="270">
        <f>IF(ISBLANK(F71),"-",(F71/$D$50*$D$47*$B$69)*$D$58/$D$69)</f>
        <v>40.620670866514089</v>
      </c>
      <c r="H71" s="267">
        <f t="shared" si="0"/>
        <v>1.0155167716628521</v>
      </c>
    </row>
    <row r="72" spans="1:11" ht="23.25" customHeight="1" x14ac:dyDescent="0.4">
      <c r="A72" s="385"/>
      <c r="B72" s="386"/>
      <c r="C72" s="402"/>
      <c r="D72" s="398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 x14ac:dyDescent="0.4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1.0157524867869145</v>
      </c>
    </row>
    <row r="74" spans="1:11" ht="26.25" customHeight="1" x14ac:dyDescent="0.4">
      <c r="C74" s="232"/>
      <c r="D74" s="232"/>
      <c r="E74" s="232"/>
      <c r="F74" s="233"/>
      <c r="G74" s="221" t="s">
        <v>80</v>
      </c>
      <c r="H74" s="307">
        <f>STDEV(H61:H72)/H73</f>
        <v>7.5926577773401159E-3</v>
      </c>
    </row>
    <row r="75" spans="1:11" ht="27" customHeight="1" x14ac:dyDescent="0.4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 x14ac:dyDescent="0.3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 x14ac:dyDescent="0.4">
      <c r="A77" s="192" t="s">
        <v>106</v>
      </c>
      <c r="B77" s="310" t="s">
        <v>107</v>
      </c>
      <c r="C77" s="380" t="str">
        <f>B20</f>
        <v>Sulphamethoxazole &amp; Trimethoprim</v>
      </c>
      <c r="D77" s="380"/>
      <c r="E77" s="257" t="s">
        <v>108</v>
      </c>
      <c r="F77" s="257"/>
      <c r="G77" s="311">
        <f>H73</f>
        <v>1.0157524867869145</v>
      </c>
      <c r="H77" s="233"/>
      <c r="I77" s="235"/>
      <c r="J77" s="239"/>
      <c r="K77" s="253"/>
    </row>
    <row r="78" spans="1:11" ht="19.5" customHeight="1" x14ac:dyDescent="0.3">
      <c r="A78" s="243"/>
      <c r="B78" s="244"/>
      <c r="C78" s="245"/>
      <c r="D78" s="245"/>
      <c r="E78" s="244"/>
      <c r="F78" s="244"/>
      <c r="G78" s="244"/>
      <c r="H78" s="244"/>
    </row>
    <row r="79" spans="1:11" ht="18.75" x14ac:dyDescent="0.3">
      <c r="B79" s="195" t="s">
        <v>24</v>
      </c>
      <c r="E79" s="233" t="s">
        <v>25</v>
      </c>
      <c r="F79" s="233"/>
      <c r="G79" s="233" t="s">
        <v>26</v>
      </c>
    </row>
    <row r="80" spans="1:11" ht="83.1" customHeight="1" x14ac:dyDescent="0.3">
      <c r="A80" s="239" t="s">
        <v>27</v>
      </c>
      <c r="B80" s="363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 x14ac:dyDescent="0.3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 x14ac:dyDescent="0.3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 x14ac:dyDescent="0.3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 x14ac:dyDescent="0.3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 x14ac:dyDescent="0.3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 x14ac:dyDescent="0.3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 x14ac:dyDescent="0.3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 x14ac:dyDescent="0.3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 x14ac:dyDescent="0.3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 x14ac:dyDescent="0.3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2016-05-12T05:38:28Z</cp:lastPrinted>
  <dcterms:created xsi:type="dcterms:W3CDTF">2005-07-05T10:19:27Z</dcterms:created>
  <dcterms:modified xsi:type="dcterms:W3CDTF">2016-05-13T14:58:54Z</dcterms:modified>
</cp:coreProperties>
</file>