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80" yWindow="492" windowWidth="20772" windowHeight="9408" activeTab="2"/>
  </bookViews>
  <sheets>
    <sheet name="SST" sheetId="1" r:id="rId1"/>
    <sheet name="Uniformity" sheetId="2" r:id="rId2"/>
    <sheet name="NEVIRAPINE" sheetId="3" r:id="rId3"/>
  </sheets>
  <definedNames>
    <definedName name="_xlnm.Print_Area" localSheetId="2">NEVIRAPINE!$A$1:$I$124</definedName>
    <definedName name="_xlnm.Print_Area" localSheetId="0">SST!$A$15:$G$62</definedName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21" i="1" l="1"/>
  <c r="B42" i="1" l="1"/>
  <c r="C120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B30" i="3"/>
  <c r="C46" i="2"/>
  <c r="C50" i="2" s="1"/>
  <c r="C45" i="2"/>
  <c r="D37" i="2"/>
  <c r="D33" i="2"/>
  <c r="D29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26" i="2" l="1"/>
  <c r="D30" i="2"/>
  <c r="D34" i="2"/>
  <c r="D38" i="2"/>
  <c r="D42" i="2"/>
  <c r="B49" i="2"/>
  <c r="D50" i="2"/>
  <c r="B57" i="3"/>
  <c r="D41" i="2"/>
  <c r="D27" i="2"/>
  <c r="D31" i="2"/>
  <c r="D35" i="2"/>
  <c r="D39" i="2"/>
  <c r="D43" i="2"/>
  <c r="C49" i="2"/>
  <c r="B69" i="3"/>
  <c r="D28" i="2"/>
  <c r="D32" i="2"/>
  <c r="D36" i="2"/>
  <c r="D40" i="2"/>
  <c r="D49" i="2"/>
  <c r="I92" i="3"/>
  <c r="D101" i="3"/>
  <c r="D102" i="3" s="1"/>
  <c r="D97" i="3"/>
  <c r="D98" i="3" s="1"/>
  <c r="I39" i="3"/>
  <c r="F44" i="3"/>
  <c r="F45" i="3" s="1"/>
  <c r="D44" i="3"/>
  <c r="D45" i="3" s="1"/>
  <c r="D49" i="3"/>
  <c r="F98" i="3"/>
  <c r="E39" i="3" l="1"/>
  <c r="D46" i="3"/>
  <c r="E41" i="3"/>
  <c r="E42" i="3" s="1"/>
  <c r="E40" i="3"/>
  <c r="E38" i="3"/>
  <c r="F99" i="3"/>
  <c r="G92" i="3"/>
  <c r="G94" i="3"/>
  <c r="G91" i="3"/>
  <c r="G93" i="3"/>
  <c r="G40" i="3"/>
  <c r="F46" i="3"/>
  <c r="G39" i="3"/>
  <c r="G41" i="3"/>
  <c r="G38" i="3"/>
  <c r="E94" i="3"/>
  <c r="E91" i="3"/>
  <c r="E93" i="3"/>
  <c r="D99" i="3"/>
  <c r="E92" i="3"/>
  <c r="D52" i="3" l="1"/>
  <c r="D103" i="3"/>
  <c r="D105" i="3"/>
  <c r="E95" i="3"/>
  <c r="G95" i="3"/>
  <c r="G42" i="3"/>
  <c r="D50" i="3"/>
  <c r="G70" i="3" l="1"/>
  <c r="H70" i="3" s="1"/>
  <c r="G67" i="3"/>
  <c r="H67" i="3" s="1"/>
  <c r="G65" i="3"/>
  <c r="H65" i="3" s="1"/>
  <c r="G63" i="3"/>
  <c r="H63" i="3" s="1"/>
  <c r="G61" i="3"/>
  <c r="H61" i="3" s="1"/>
  <c r="D51" i="3"/>
  <c r="G71" i="3"/>
  <c r="H71" i="3" s="1"/>
  <c r="G69" i="3"/>
  <c r="H69" i="3" s="1"/>
  <c r="G66" i="3"/>
  <c r="H66" i="3" s="1"/>
  <c r="G64" i="3"/>
  <c r="H64" i="3" s="1"/>
  <c r="G62" i="3"/>
  <c r="H62" i="3" s="1"/>
  <c r="G60" i="3"/>
  <c r="G68" i="3"/>
  <c r="H68" i="3" s="1"/>
  <c r="E113" i="3"/>
  <c r="F113" i="3" s="1"/>
  <c r="E111" i="3"/>
  <c r="F111" i="3" s="1"/>
  <c r="E109" i="3"/>
  <c r="F109" i="3" s="1"/>
  <c r="D104" i="3"/>
  <c r="E112" i="3"/>
  <c r="F112" i="3" s="1"/>
  <c r="E110" i="3"/>
  <c r="F110" i="3" s="1"/>
  <c r="E108" i="3"/>
  <c r="G74" i="3" l="1"/>
  <c r="G72" i="3"/>
  <c r="G73" i="3" s="1"/>
  <c r="H60" i="3"/>
  <c r="E117" i="3"/>
  <c r="F108" i="3"/>
  <c r="E115" i="3"/>
  <c r="E116" i="3" s="1"/>
  <c r="H74" i="3" l="1"/>
  <c r="H72" i="3"/>
  <c r="F115" i="3"/>
  <c r="F117" i="3"/>
  <c r="G76" i="3" l="1"/>
  <c r="H73" i="3"/>
  <c r="G120" i="3"/>
  <c r="F116" i="3"/>
</calcChain>
</file>

<file path=xl/sharedStrings.xml><?xml version="1.0" encoding="utf-8"?>
<sst xmlns="http://schemas.openxmlformats.org/spreadsheetml/2006/main" count="233" uniqueCount="129">
  <si>
    <t>HPLC System Suitability Report</t>
  </si>
  <si>
    <t>Analysis Data</t>
  </si>
  <si>
    <t>Assay</t>
  </si>
  <si>
    <t>Sample(s)</t>
  </si>
  <si>
    <t>Reference Substance:</t>
  </si>
  <si>
    <t xml:space="preserve">NEVIRAPINE TABLETS USP 200MG </t>
  </si>
  <si>
    <t>% age Purity:</t>
  </si>
  <si>
    <t>NDQB201605925</t>
  </si>
  <si>
    <t>Weight (mg):</t>
  </si>
  <si>
    <t>Nevirapine USP</t>
  </si>
  <si>
    <t>Standard Conc (mg/mL):</t>
  </si>
  <si>
    <t>Each tablet contains: 200 mg of Nevirapine USP.</t>
  </si>
  <si>
    <t>2016-05-13 07:02:05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</si>
  <si>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</si>
  <si>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</si>
  <si>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</si>
  <si>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</si>
  <si>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</si>
  <si>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</si>
  <si>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</si>
  <si>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</si>
  <si>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</si>
  <si>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</si>
  <si>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</si>
  <si>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</si>
  <si>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</si>
  <si>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</si>
  <si>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</si>
  <si>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</si>
  <si>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</si>
  <si>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</si>
  <si>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</si>
  <si>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</si>
  <si>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</si>
  <si>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</si>
  <si>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</si>
  <si>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</si>
  <si>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</si>
  <si>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</si>
  <si>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</si>
  <si>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</si>
  <si>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</si>
  <si>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</si>
  <si>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</si>
  <si>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</si>
  <si>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</si>
  <si>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</si>
  <si>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</si>
  <si>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</si>
  <si>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</si>
  <si>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</si>
  <si>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</si>
  <si>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</si>
  <si>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</si>
  <si>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</si>
  <si>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</si>
  <si>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</si>
  <si>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</si>
  <si>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</si>
  <si>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</si>
  <si>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</si>
  <si>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</si>
  <si>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</si>
  <si>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</si>
  <si>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</si>
  <si>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</si>
  <si>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</si>
  <si>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</si>
  <si>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</si>
  <si>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</si>
  <si>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</si>
  <si>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</si>
  <si>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</si>
  <si>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</si>
  <si>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</si>
  <si>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</si>
  <si>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</si>
  <si>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</si>
  <si>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</si>
  <si>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</si>
  <si>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</si>
  <si>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</si>
  <si>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</si>
  <si>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</si>
  <si>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</si>
  <si>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</si>
  <si>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</si>
  <si>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</si>
  <si>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</si>
  <si>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</si>
  <si>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</si>
  <si>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</si>
  <si>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</si>
  <si>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</si>
  <si>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</si>
  <si>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</si>
  <si>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</si>
  <si>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</si>
  <si>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</si>
  <si>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</si>
  <si>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</si>
  <si>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</si>
  <si>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</si>
  <si>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</si>
  <si>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</si>
  <si>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</si>
  <si>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</si>
  <si>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</si>
  <si>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</si>
  <si>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</si>
  <si>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</si>
  <si>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</si>
  <si>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</si>
  <si>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</si>
  <si>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</si>
  <si>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</si>
  <si>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</si>
  <si>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</si>
  <si>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</si>
  <si>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</si>
  <si>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</si>
  <si>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</si>
  <si>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</si>
  <si>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</si>
  <si>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Nevirapine</t>
  </si>
  <si>
    <t>N1-3</t>
  </si>
  <si>
    <t xml:space="preserve">Nevirapine </t>
  </si>
  <si>
    <t>RUTTO/JOYFRIDA</t>
  </si>
  <si>
    <t>Tablet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</si>
</sst>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14" fontId="6" fillId="2" borderId="0" xfId="0" applyNumberFormat="1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4" workbookViewId="0">
      <selection activeCell="B42" sqref="B42"/>
    </sheetView>
  </sheetViews>
  <sheetFormatPr defaultRowHeight="13.8" x14ac:dyDescent="0.3"/>
  <cols>
    <col min="1" max="1" width="27.5546875" style="4" customWidth="1"/>
    <col min="2" max="2" width="20.44140625" style="4" customWidth="1"/>
    <col min="3" max="3" width="31.88671875" style="4" customWidth="1"/>
    <col min="4" max="4" width="25.88671875" style="4" customWidth="1"/>
    <col min="5" max="5" width="25.6640625" style="4" customWidth="1"/>
    <col min="6" max="6" width="23.109375" style="4" customWidth="1"/>
    <col min="7" max="7" width="28.44140625" style="4" customWidth="1"/>
    <col min="8" max="8" width="21.5546875" style="4" customWidth="1"/>
    <col min="9" max="9" width="9.10937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5">
      <c r="A15" s="282" t="s">
        <v>0</v>
      </c>
      <c r="B15" s="282"/>
      <c r="C15" s="282"/>
      <c r="D15" s="282"/>
      <c r="E15" s="282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12" t="s">
        <v>126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99.15</v>
      </c>
      <c r="C19" s="10"/>
      <c r="D19" s="10"/>
      <c r="E19" s="10"/>
    </row>
    <row r="20" spans="1:6" ht="16.5" customHeight="1" x14ac:dyDescent="0.3">
      <c r="A20" s="7" t="s">
        <v>8</v>
      </c>
      <c r="B20" s="12">
        <v>18.95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B20/20*4/20</f>
        <v>0.1895</v>
      </c>
      <c r="C21" s="10"/>
      <c r="D21" s="10"/>
      <c r="E21" s="10"/>
    </row>
    <row r="22" spans="1:6" ht="15.75" customHeight="1" x14ac:dyDescent="0.3">
      <c r="A22" s="10"/>
      <c r="B22" s="281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25376141</v>
      </c>
      <c r="C24" s="18">
        <v>12767.5</v>
      </c>
      <c r="D24" s="19">
        <v>1</v>
      </c>
      <c r="E24" s="20">
        <v>6.6</v>
      </c>
    </row>
    <row r="25" spans="1:6" ht="16.5" customHeight="1" x14ac:dyDescent="0.3">
      <c r="A25" s="17">
        <v>2</v>
      </c>
      <c r="B25" s="18">
        <v>25509758</v>
      </c>
      <c r="C25" s="18">
        <v>12775.5</v>
      </c>
      <c r="D25" s="19">
        <v>1</v>
      </c>
      <c r="E25" s="19">
        <v>6.7</v>
      </c>
    </row>
    <row r="26" spans="1:6" ht="16.5" customHeight="1" x14ac:dyDescent="0.3">
      <c r="A26" s="17">
        <v>3</v>
      </c>
      <c r="B26" s="18">
        <v>25502972</v>
      </c>
      <c r="C26" s="18">
        <v>12780.5</v>
      </c>
      <c r="D26" s="19">
        <v>1</v>
      </c>
      <c r="E26" s="19">
        <v>6.7</v>
      </c>
    </row>
    <row r="27" spans="1:6" ht="16.5" customHeight="1" x14ac:dyDescent="0.3">
      <c r="A27" s="17">
        <v>4</v>
      </c>
      <c r="B27" s="18">
        <v>25500705</v>
      </c>
      <c r="C27" s="18">
        <v>12782.4</v>
      </c>
      <c r="D27" s="19">
        <v>1</v>
      </c>
      <c r="E27" s="19">
        <v>6.7</v>
      </c>
    </row>
    <row r="28" spans="1:6" ht="16.5" customHeight="1" x14ac:dyDescent="0.3">
      <c r="A28" s="17">
        <v>5</v>
      </c>
      <c r="B28" s="18">
        <v>25500838</v>
      </c>
      <c r="C28" s="18">
        <v>12782.9</v>
      </c>
      <c r="D28" s="19">
        <v>1</v>
      </c>
      <c r="E28" s="19">
        <v>6.7</v>
      </c>
    </row>
    <row r="29" spans="1:6" ht="16.5" customHeight="1" x14ac:dyDescent="0.3">
      <c r="A29" s="17">
        <v>6</v>
      </c>
      <c r="B29" s="21">
        <v>25388032</v>
      </c>
      <c r="C29" s="21">
        <v>12776</v>
      </c>
      <c r="D29" s="22">
        <v>1</v>
      </c>
      <c r="E29" s="22">
        <v>6.7</v>
      </c>
    </row>
    <row r="30" spans="1:6" ht="16.5" customHeight="1" x14ac:dyDescent="0.3">
      <c r="A30" s="23" t="s">
        <v>18</v>
      </c>
      <c r="B30" s="24">
        <f>AVERAGE(B24:B29)</f>
        <v>25463074.333333332</v>
      </c>
      <c r="C30" s="25">
        <f>AVERAGE(C24:C29)</f>
        <v>12777.466666666667</v>
      </c>
      <c r="D30" s="26">
        <f>AVERAGE(D24:D29)</f>
        <v>1</v>
      </c>
      <c r="E30" s="26">
        <f>AVERAGE(E24:E29)</f>
        <v>6.6833333333333336</v>
      </c>
    </row>
    <row r="31" spans="1:6" ht="16.5" customHeight="1" x14ac:dyDescent="0.3">
      <c r="A31" s="27" t="s">
        <v>19</v>
      </c>
      <c r="B31" s="28">
        <f>(STDEV(B24:B29)/B30)</f>
        <v>2.4714956732230209E-3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3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3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">
        <v>124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99.15</v>
      </c>
      <c r="C40" s="10"/>
      <c r="D40" s="10"/>
      <c r="E40" s="10"/>
    </row>
    <row r="41" spans="1:6" ht="16.5" customHeight="1" x14ac:dyDescent="0.3">
      <c r="A41" s="7" t="s">
        <v>8</v>
      </c>
      <c r="B41" s="12">
        <v>21.13</v>
      </c>
      <c r="C41" s="10"/>
      <c r="D41" s="10"/>
      <c r="E41" s="10"/>
    </row>
    <row r="42" spans="1:6" ht="16.5" customHeight="1" x14ac:dyDescent="0.3">
      <c r="A42" s="7" t="s">
        <v>10</v>
      </c>
      <c r="B42" s="13">
        <f>20/20*4/20</f>
        <v>0.2</v>
      </c>
      <c r="C42" s="10"/>
      <c r="D42" s="10"/>
      <c r="E42" s="10"/>
    </row>
    <row r="43" spans="1:6" ht="15.75" customHeight="1" x14ac:dyDescent="0.3">
      <c r="A43" s="10"/>
      <c r="B43" s="281">
        <v>42510</v>
      </c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28920227</v>
      </c>
      <c r="C45" s="18">
        <v>13402.2</v>
      </c>
      <c r="D45" s="19">
        <v>1</v>
      </c>
      <c r="E45" s="20">
        <v>8.5</v>
      </c>
    </row>
    <row r="46" spans="1:6" ht="16.5" customHeight="1" x14ac:dyDescent="0.3">
      <c r="A46" s="17">
        <v>2</v>
      </c>
      <c r="B46" s="18">
        <v>29086153</v>
      </c>
      <c r="C46" s="18">
        <v>13331.8</v>
      </c>
      <c r="D46" s="19">
        <v>1</v>
      </c>
      <c r="E46" s="19">
        <v>8.6</v>
      </c>
    </row>
    <row r="47" spans="1:6" ht="16.5" customHeight="1" x14ac:dyDescent="0.3">
      <c r="A47" s="17">
        <v>3</v>
      </c>
      <c r="B47" s="18">
        <v>29043822</v>
      </c>
      <c r="C47" s="18">
        <v>13326.6</v>
      </c>
      <c r="D47" s="19">
        <v>1</v>
      </c>
      <c r="E47" s="19">
        <v>8.6</v>
      </c>
    </row>
    <row r="48" spans="1:6" ht="16.5" customHeight="1" x14ac:dyDescent="0.3">
      <c r="A48" s="17">
        <v>4</v>
      </c>
      <c r="B48" s="18">
        <v>28845916</v>
      </c>
      <c r="C48" s="18">
        <v>13292.5</v>
      </c>
      <c r="D48" s="19">
        <v>1</v>
      </c>
      <c r="E48" s="19">
        <v>8.6</v>
      </c>
    </row>
    <row r="49" spans="1:7" ht="16.5" customHeight="1" x14ac:dyDescent="0.3">
      <c r="A49" s="17">
        <v>5</v>
      </c>
      <c r="B49" s="18">
        <v>28880079</v>
      </c>
      <c r="C49" s="18">
        <v>13415</v>
      </c>
      <c r="D49" s="19">
        <v>1</v>
      </c>
      <c r="E49" s="19">
        <v>8.6999999999999993</v>
      </c>
    </row>
    <row r="50" spans="1:7" ht="16.5" customHeight="1" x14ac:dyDescent="0.3">
      <c r="A50" s="17">
        <v>6</v>
      </c>
      <c r="B50" s="21">
        <v>28691310</v>
      </c>
      <c r="C50" s="21">
        <v>13461.5</v>
      </c>
      <c r="D50" s="22">
        <v>1</v>
      </c>
      <c r="E50" s="22">
        <v>8.6999999999999993</v>
      </c>
    </row>
    <row r="51" spans="1:7" ht="16.5" customHeight="1" x14ac:dyDescent="0.3">
      <c r="A51" s="23" t="s">
        <v>18</v>
      </c>
      <c r="B51" s="24">
        <f>AVERAGE(B45:B50)</f>
        <v>28911251.166666668</v>
      </c>
      <c r="C51" s="25">
        <f>AVERAGE(C45:C50)</f>
        <v>13371.6</v>
      </c>
      <c r="D51" s="26">
        <f>AVERAGE(D45:D50)</f>
        <v>1</v>
      </c>
      <c r="E51" s="26">
        <f>AVERAGE(E45:E50)</f>
        <v>8.6166666666666671</v>
      </c>
    </row>
    <row r="52" spans="1:7" ht="16.5" customHeight="1" x14ac:dyDescent="0.3">
      <c r="A52" s="27" t="s">
        <v>19</v>
      </c>
      <c r="B52" s="28">
        <f>(STDEV(B45:B50)/B51)</f>
        <v>4.9368682872190069E-3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3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3">
      <c r="A58" s="41"/>
      <c r="B58" s="42"/>
      <c r="D58" s="43"/>
      <c r="F58" s="44"/>
      <c r="G58" s="44"/>
    </row>
    <row r="59" spans="1:7" ht="15" customHeight="1" x14ac:dyDescent="0.3">
      <c r="B59" s="283" t="s">
        <v>26</v>
      </c>
      <c r="C59" s="283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 t="s">
        <v>127</v>
      </c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2" workbookViewId="0">
      <selection activeCell="F41" sqref="F41"/>
    </sheetView>
  </sheetViews>
  <sheetFormatPr defaultRowHeight="13.8" x14ac:dyDescent="0.3"/>
  <cols>
    <col min="1" max="1" width="15.5546875" style="1" customWidth="1"/>
    <col min="2" max="2" width="18.44140625" style="1" customWidth="1"/>
    <col min="3" max="3" width="14.33203125" style="1" customWidth="1"/>
    <col min="4" max="4" width="15" style="1" customWidth="1"/>
    <col min="5" max="5" width="9.109375" style="1" customWidth="1"/>
    <col min="6" max="6" width="27.88671875" style="1" customWidth="1"/>
    <col min="7" max="7" width="12.33203125" style="1" customWidth="1"/>
    <col min="8" max="8" width="9.109375" style="1" customWidth="1"/>
  </cols>
  <sheetData>
    <row r="10" spans="1:7" ht="13.5" customHeight="1" x14ac:dyDescent="0.3"/>
    <row r="11" spans="1:7" ht="13.5" customHeight="1" x14ac:dyDescent="0.3">
      <c r="A11" s="287" t="s">
        <v>31</v>
      </c>
      <c r="B11" s="288"/>
      <c r="C11" s="288"/>
      <c r="D11" s="288"/>
      <c r="E11" s="288"/>
      <c r="F11" s="289"/>
      <c r="G11" s="91"/>
    </row>
    <row r="12" spans="1:7" ht="16.5" customHeight="1" x14ac:dyDescent="0.3">
      <c r="A12" s="286" t="s">
        <v>32</v>
      </c>
      <c r="B12" s="286"/>
      <c r="C12" s="286"/>
      <c r="D12" s="286"/>
      <c r="E12" s="286"/>
      <c r="F12" s="286"/>
      <c r="G12" s="90"/>
    </row>
    <row r="14" spans="1:7" ht="16.5" customHeight="1" x14ac:dyDescent="0.3">
      <c r="A14" s="291" t="s">
        <v>33</v>
      </c>
      <c r="B14" s="291"/>
      <c r="C14" s="60" t="s">
        <v>5</v>
      </c>
    </row>
    <row r="15" spans="1:7" ht="16.5" customHeight="1" x14ac:dyDescent="0.3">
      <c r="A15" s="291" t="s">
        <v>34</v>
      </c>
      <c r="B15" s="291"/>
      <c r="C15" s="60" t="s">
        <v>7</v>
      </c>
    </row>
    <row r="16" spans="1:7" ht="16.5" customHeight="1" x14ac:dyDescent="0.3">
      <c r="A16" s="291" t="s">
        <v>35</v>
      </c>
      <c r="B16" s="291"/>
      <c r="C16" s="60" t="s">
        <v>9</v>
      </c>
    </row>
    <row r="17" spans="1:5" ht="16.5" customHeight="1" x14ac:dyDescent="0.3">
      <c r="A17" s="291" t="s">
        <v>36</v>
      </c>
      <c r="B17" s="291"/>
      <c r="C17" s="60" t="s">
        <v>11</v>
      </c>
    </row>
    <row r="18" spans="1:5" ht="16.5" customHeight="1" x14ac:dyDescent="0.3">
      <c r="A18" s="291" t="s">
        <v>37</v>
      </c>
      <c r="B18" s="291"/>
      <c r="C18" s="97" t="s">
        <v>12</v>
      </c>
    </row>
    <row r="19" spans="1:5" ht="16.5" customHeight="1" x14ac:dyDescent="0.3">
      <c r="A19" s="291" t="s">
        <v>38</v>
      </c>
      <c r="B19" s="291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6" t="s">
        <v>1</v>
      </c>
      <c r="B21" s="286"/>
      <c r="C21" s="59" t="s">
        <v>39</v>
      </c>
      <c r="D21" s="66"/>
    </row>
    <row r="22" spans="1:5" ht="15.75" customHeight="1" x14ac:dyDescent="0.3">
      <c r="A22" s="290"/>
      <c r="B22" s="290"/>
      <c r="C22" s="57"/>
      <c r="D22" s="290"/>
      <c r="E22" s="290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363.92</v>
      </c>
      <c r="D24" s="87">
        <f t="shared" ref="D24:D43" si="0">(C24-$C$46)/$C$46</f>
        <v>8.0607185396525515E-3</v>
      </c>
      <c r="E24" s="53"/>
    </row>
    <row r="25" spans="1:5" ht="15.75" customHeight="1" x14ac:dyDescent="0.3">
      <c r="C25" s="95">
        <v>365.92</v>
      </c>
      <c r="D25" s="88">
        <f t="shared" si="0"/>
        <v>1.3600731281681858E-2</v>
      </c>
      <c r="E25" s="53"/>
    </row>
    <row r="26" spans="1:5" ht="15.75" customHeight="1" x14ac:dyDescent="0.3">
      <c r="C26" s="95">
        <v>369.4</v>
      </c>
      <c r="D26" s="88">
        <f t="shared" si="0"/>
        <v>2.3240353452812744E-2</v>
      </c>
      <c r="E26" s="53"/>
    </row>
    <row r="27" spans="1:5" ht="15.75" customHeight="1" x14ac:dyDescent="0.3">
      <c r="C27" s="95">
        <v>356.55</v>
      </c>
      <c r="D27" s="88">
        <f t="shared" si="0"/>
        <v>-1.2354228414725454E-2</v>
      </c>
      <c r="E27" s="53"/>
    </row>
    <row r="28" spans="1:5" ht="15.75" customHeight="1" x14ac:dyDescent="0.3">
      <c r="C28" s="95">
        <v>367.6</v>
      </c>
      <c r="D28" s="88">
        <f t="shared" si="0"/>
        <v>1.8254341984986495E-2</v>
      </c>
      <c r="E28" s="53"/>
    </row>
    <row r="29" spans="1:5" ht="15.75" customHeight="1" x14ac:dyDescent="0.3">
      <c r="C29" s="95">
        <v>365.34</v>
      </c>
      <c r="D29" s="88">
        <f t="shared" si="0"/>
        <v>1.1994127586493247E-2</v>
      </c>
      <c r="E29" s="53"/>
    </row>
    <row r="30" spans="1:5" ht="15.75" customHeight="1" x14ac:dyDescent="0.3">
      <c r="C30" s="95">
        <v>350.85</v>
      </c>
      <c r="D30" s="88">
        <f t="shared" si="0"/>
        <v>-2.8143264729508944E-2</v>
      </c>
      <c r="E30" s="53"/>
    </row>
    <row r="31" spans="1:5" ht="15.75" customHeight="1" x14ac:dyDescent="0.3">
      <c r="C31" s="95">
        <v>364.82</v>
      </c>
      <c r="D31" s="88">
        <f t="shared" si="0"/>
        <v>1.0553724273565677E-2</v>
      </c>
      <c r="E31" s="53"/>
    </row>
    <row r="32" spans="1:5" ht="15.75" customHeight="1" x14ac:dyDescent="0.3">
      <c r="C32" s="95">
        <v>364.01</v>
      </c>
      <c r="D32" s="88">
        <f t="shared" si="0"/>
        <v>8.3100191130438018E-3</v>
      </c>
      <c r="E32" s="53"/>
    </row>
    <row r="33" spans="1:7" ht="15.75" customHeight="1" x14ac:dyDescent="0.3">
      <c r="C33" s="95">
        <v>356.35</v>
      </c>
      <c r="D33" s="88">
        <f t="shared" si="0"/>
        <v>-1.2908229688928352E-2</v>
      </c>
      <c r="E33" s="53"/>
    </row>
    <row r="34" spans="1:7" ht="15.75" customHeight="1" x14ac:dyDescent="0.3">
      <c r="C34" s="95">
        <v>363.65</v>
      </c>
      <c r="D34" s="88">
        <f t="shared" si="0"/>
        <v>7.3128168194784883E-3</v>
      </c>
      <c r="E34" s="53"/>
    </row>
    <row r="35" spans="1:7" ht="15.75" customHeight="1" x14ac:dyDescent="0.3">
      <c r="C35" s="95">
        <v>358.5</v>
      </c>
      <c r="D35" s="88">
        <f t="shared" si="0"/>
        <v>-6.9527159912469109E-3</v>
      </c>
      <c r="E35" s="53"/>
    </row>
    <row r="36" spans="1:7" ht="15.75" customHeight="1" x14ac:dyDescent="0.3">
      <c r="C36" s="95">
        <v>360.01</v>
      </c>
      <c r="D36" s="88">
        <f t="shared" si="0"/>
        <v>-2.7700063710148102E-3</v>
      </c>
      <c r="E36" s="53"/>
    </row>
    <row r="37" spans="1:7" ht="15.75" customHeight="1" x14ac:dyDescent="0.3">
      <c r="C37" s="95">
        <v>361.92</v>
      </c>
      <c r="D37" s="88">
        <f t="shared" si="0"/>
        <v>2.5207057976232459E-3</v>
      </c>
      <c r="E37" s="53"/>
    </row>
    <row r="38" spans="1:7" ht="15.75" customHeight="1" x14ac:dyDescent="0.3">
      <c r="C38" s="95">
        <v>358.88</v>
      </c>
      <c r="D38" s="88">
        <f t="shared" si="0"/>
        <v>-5.9001135702613557E-3</v>
      </c>
      <c r="E38" s="53"/>
    </row>
    <row r="39" spans="1:7" ht="15.75" customHeight="1" x14ac:dyDescent="0.3">
      <c r="C39" s="95">
        <v>355.85</v>
      </c>
      <c r="D39" s="88">
        <f t="shared" si="0"/>
        <v>-1.4293232874435678E-2</v>
      </c>
      <c r="E39" s="53"/>
    </row>
    <row r="40" spans="1:7" ht="15.75" customHeight="1" x14ac:dyDescent="0.3">
      <c r="C40" s="95">
        <v>369.08</v>
      </c>
      <c r="D40" s="88">
        <f t="shared" si="0"/>
        <v>2.2353951414088073E-2</v>
      </c>
      <c r="E40" s="53"/>
    </row>
    <row r="41" spans="1:7" ht="15.75" customHeight="1" x14ac:dyDescent="0.3">
      <c r="C41" s="95">
        <v>358.14</v>
      </c>
      <c r="D41" s="88">
        <f t="shared" si="0"/>
        <v>-7.9499182848122244E-3</v>
      </c>
      <c r="E41" s="53"/>
    </row>
    <row r="42" spans="1:7" ht="15.75" customHeight="1" x14ac:dyDescent="0.3">
      <c r="C42" s="95">
        <v>352</v>
      </c>
      <c r="D42" s="88">
        <f t="shared" si="0"/>
        <v>-2.4957757402842156E-2</v>
      </c>
      <c r="E42" s="53"/>
    </row>
    <row r="43" spans="1:7" ht="16.5" customHeight="1" x14ac:dyDescent="0.3">
      <c r="C43" s="96">
        <v>357.41</v>
      </c>
      <c r="D43" s="89">
        <f t="shared" si="0"/>
        <v>-9.9720229356528144E-3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7220.2000000000007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361.01000000000005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4">
        <f>C46</f>
        <v>361.01000000000005</v>
      </c>
      <c r="C49" s="93">
        <f>-IF(C46&lt;=80,10%,IF(C46&lt;250,7.5%,5%))</f>
        <v>-0.05</v>
      </c>
      <c r="D49" s="81">
        <f>IF(C46&lt;=80,C46*0.9,IF(C46&lt;250,C46*0.925,C46*0.95))</f>
        <v>342.95950000000005</v>
      </c>
    </row>
    <row r="50" spans="1:6" ht="17.25" customHeight="1" x14ac:dyDescent="0.3">
      <c r="B50" s="285"/>
      <c r="C50" s="94">
        <f>IF(C46&lt;=80, 10%, IF(C46&lt;250, 7.5%, 5%))</f>
        <v>0.05</v>
      </c>
      <c r="D50" s="81">
        <f>IF(C46&lt;=80, C46*1.1, IF(C46&lt;250, C46*1.075, C46*1.05))</f>
        <v>379.06050000000005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topLeftCell="A97" zoomScale="70" zoomScaleNormal="70" zoomScalePageLayoutView="50" workbookViewId="0">
      <selection activeCell="G111" sqref="G111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292" t="s">
        <v>45</v>
      </c>
      <c r="B1" s="292"/>
      <c r="C1" s="292"/>
      <c r="D1" s="292"/>
      <c r="E1" s="292"/>
      <c r="F1" s="292"/>
      <c r="G1" s="292"/>
      <c r="H1" s="292"/>
      <c r="I1" s="292"/>
    </row>
    <row r="2" spans="1:9" ht="18.75" customHeight="1" x14ac:dyDescent="0.3">
      <c r="A2" s="292"/>
      <c r="B2" s="292"/>
      <c r="C2" s="292"/>
      <c r="D2" s="292"/>
      <c r="E2" s="292"/>
      <c r="F2" s="292"/>
      <c r="G2" s="292"/>
      <c r="H2" s="292"/>
      <c r="I2" s="292"/>
    </row>
    <row r="3" spans="1:9" ht="18.75" customHeight="1" x14ac:dyDescent="0.3">
      <c r="A3" s="292"/>
      <c r="B3" s="292"/>
      <c r="C3" s="292"/>
      <c r="D3" s="292"/>
      <c r="E3" s="292"/>
      <c r="F3" s="292"/>
      <c r="G3" s="292"/>
      <c r="H3" s="292"/>
      <c r="I3" s="292"/>
    </row>
    <row r="4" spans="1:9" ht="18.75" customHeight="1" x14ac:dyDescent="0.3">
      <c r="A4" s="292"/>
      <c r="B4" s="292"/>
      <c r="C4" s="292"/>
      <c r="D4" s="292"/>
      <c r="E4" s="292"/>
      <c r="F4" s="292"/>
      <c r="G4" s="292"/>
      <c r="H4" s="292"/>
      <c r="I4" s="292"/>
    </row>
    <row r="5" spans="1:9" ht="18.75" customHeight="1" x14ac:dyDescent="0.3">
      <c r="A5" s="292"/>
      <c r="B5" s="292"/>
      <c r="C5" s="292"/>
      <c r="D5" s="292"/>
      <c r="E5" s="292"/>
      <c r="F5" s="292"/>
      <c r="G5" s="292"/>
      <c r="H5" s="292"/>
      <c r="I5" s="292"/>
    </row>
    <row r="6" spans="1:9" ht="18.75" customHeight="1" x14ac:dyDescent="0.3">
      <c r="A6" s="292"/>
      <c r="B6" s="292"/>
      <c r="C6" s="292"/>
      <c r="D6" s="292"/>
      <c r="E6" s="292"/>
      <c r="F6" s="292"/>
      <c r="G6" s="292"/>
      <c r="H6" s="292"/>
      <c r="I6" s="292"/>
    </row>
    <row r="7" spans="1:9" ht="18.75" customHeight="1" x14ac:dyDescent="0.3">
      <c r="A7" s="292"/>
      <c r="B7" s="292"/>
      <c r="C7" s="292"/>
      <c r="D7" s="292"/>
      <c r="E7" s="292"/>
      <c r="F7" s="292"/>
      <c r="G7" s="292"/>
      <c r="H7" s="292"/>
      <c r="I7" s="292"/>
    </row>
    <row r="8" spans="1:9" x14ac:dyDescent="0.3">
      <c r="A8" s="293" t="s">
        <v>46</v>
      </c>
      <c r="B8" s="293"/>
      <c r="C8" s="293"/>
      <c r="D8" s="293"/>
      <c r="E8" s="293"/>
      <c r="F8" s="293"/>
      <c r="G8" s="293"/>
      <c r="H8" s="293"/>
      <c r="I8" s="293"/>
    </row>
    <row r="9" spans="1:9" x14ac:dyDescent="0.3">
      <c r="A9" s="293"/>
      <c r="B9" s="293"/>
      <c r="C9" s="293"/>
      <c r="D9" s="293"/>
      <c r="E9" s="293"/>
      <c r="F9" s="293"/>
      <c r="G9" s="293"/>
      <c r="H9" s="293"/>
      <c r="I9" s="293"/>
    </row>
    <row r="10" spans="1:9" x14ac:dyDescent="0.3">
      <c r="A10" s="293"/>
      <c r="B10" s="293"/>
      <c r="C10" s="293"/>
      <c r="D10" s="293"/>
      <c r="E10" s="293"/>
      <c r="F10" s="293"/>
      <c r="G10" s="293"/>
      <c r="H10" s="293"/>
      <c r="I10" s="293"/>
    </row>
    <row r="11" spans="1:9" x14ac:dyDescent="0.3">
      <c r="A11" s="293"/>
      <c r="B11" s="293"/>
      <c r="C11" s="293"/>
      <c r="D11" s="293"/>
      <c r="E11" s="293"/>
      <c r="F11" s="293"/>
      <c r="G11" s="293"/>
      <c r="H11" s="293"/>
      <c r="I11" s="293"/>
    </row>
    <row r="12" spans="1:9" x14ac:dyDescent="0.3">
      <c r="A12" s="293"/>
      <c r="B12" s="293"/>
      <c r="C12" s="293"/>
      <c r="D12" s="293"/>
      <c r="E12" s="293"/>
      <c r="F12" s="293"/>
      <c r="G12" s="293"/>
      <c r="H12" s="293"/>
      <c r="I12" s="293"/>
    </row>
    <row r="13" spans="1:9" x14ac:dyDescent="0.3">
      <c r="A13" s="293"/>
      <c r="B13" s="293"/>
      <c r="C13" s="293"/>
      <c r="D13" s="293"/>
      <c r="E13" s="293"/>
      <c r="F13" s="293"/>
      <c r="G13" s="293"/>
      <c r="H13" s="293"/>
      <c r="I13" s="293"/>
    </row>
    <row r="14" spans="1:9" x14ac:dyDescent="0.3">
      <c r="A14" s="293"/>
      <c r="B14" s="293"/>
      <c r="C14" s="293"/>
      <c r="D14" s="293"/>
      <c r="E14" s="293"/>
      <c r="F14" s="293"/>
      <c r="G14" s="293"/>
      <c r="H14" s="293"/>
      <c r="I14" s="293"/>
    </row>
    <row r="15" spans="1:9" ht="19.5" customHeight="1" x14ac:dyDescent="0.35">
      <c r="A15" s="98"/>
    </row>
    <row r="16" spans="1:9" ht="19.5" customHeight="1" x14ac:dyDescent="0.35">
      <c r="A16" s="326" t="s">
        <v>31</v>
      </c>
      <c r="B16" s="327"/>
      <c r="C16" s="327"/>
      <c r="D16" s="327"/>
      <c r="E16" s="327"/>
      <c r="F16" s="327"/>
      <c r="G16" s="327"/>
      <c r="H16" s="328"/>
    </row>
    <row r="17" spans="1:14" ht="20.25" customHeight="1" x14ac:dyDescent="0.3">
      <c r="A17" s="329" t="s">
        <v>47</v>
      </c>
      <c r="B17" s="329"/>
      <c r="C17" s="329"/>
      <c r="D17" s="329"/>
      <c r="E17" s="329"/>
      <c r="F17" s="329"/>
      <c r="G17" s="329"/>
      <c r="H17" s="329"/>
    </row>
    <row r="18" spans="1:14" ht="26.25" customHeight="1" x14ac:dyDescent="0.5">
      <c r="A18" s="100" t="s">
        <v>33</v>
      </c>
      <c r="B18" s="325" t="s">
        <v>5</v>
      </c>
      <c r="C18" s="325"/>
      <c r="D18" s="267"/>
      <c r="E18" s="101"/>
      <c r="F18" s="102"/>
      <c r="G18" s="102"/>
      <c r="H18" s="102"/>
    </row>
    <row r="19" spans="1:14" ht="26.25" customHeight="1" x14ac:dyDescent="0.5">
      <c r="A19" s="100" t="s">
        <v>34</v>
      </c>
      <c r="B19" s="103" t="s">
        <v>7</v>
      </c>
      <c r="C19" s="280">
        <v>29</v>
      </c>
      <c r="D19" s="102"/>
      <c r="E19" s="102"/>
      <c r="F19" s="102"/>
      <c r="G19" s="102"/>
      <c r="H19" s="102"/>
    </row>
    <row r="20" spans="1:14" ht="26.25" customHeight="1" x14ac:dyDescent="0.5">
      <c r="A20" s="100" t="s">
        <v>35</v>
      </c>
      <c r="B20" s="330" t="s">
        <v>126</v>
      </c>
      <c r="C20" s="330"/>
      <c r="D20" s="102"/>
      <c r="E20" s="102"/>
      <c r="F20" s="102"/>
      <c r="G20" s="102"/>
      <c r="H20" s="102"/>
    </row>
    <row r="21" spans="1:14" ht="26.25" customHeight="1" x14ac:dyDescent="0.5">
      <c r="A21" s="100" t="s">
        <v>36</v>
      </c>
      <c r="B21" s="330" t="s">
        <v>11</v>
      </c>
      <c r="C21" s="330"/>
      <c r="D21" s="330"/>
      <c r="E21" s="330"/>
      <c r="F21" s="330"/>
      <c r="G21" s="330"/>
      <c r="H21" s="330"/>
      <c r="I21" s="104"/>
    </row>
    <row r="22" spans="1:14" ht="26.25" customHeight="1" x14ac:dyDescent="0.5">
      <c r="A22" s="100" t="s">
        <v>37</v>
      </c>
      <c r="B22" s="105">
        <v>42509</v>
      </c>
      <c r="C22" s="102"/>
      <c r="D22" s="102"/>
      <c r="E22" s="102"/>
      <c r="F22" s="102"/>
      <c r="G22" s="102"/>
      <c r="H22" s="102"/>
    </row>
    <row r="23" spans="1:14" ht="26.25" customHeight="1" x14ac:dyDescent="0.5">
      <c r="A23" s="100" t="s">
        <v>38</v>
      </c>
      <c r="B23" s="105">
        <v>42510</v>
      </c>
      <c r="C23" s="102"/>
      <c r="D23" s="102"/>
      <c r="E23" s="102"/>
      <c r="F23" s="102"/>
      <c r="G23" s="102"/>
      <c r="H23" s="102"/>
    </row>
    <row r="24" spans="1:14" ht="18" x14ac:dyDescent="0.35">
      <c r="A24" s="100"/>
      <c r="B24" s="106"/>
    </row>
    <row r="25" spans="1:14" ht="18" x14ac:dyDescent="0.35">
      <c r="A25" s="107" t="s">
        <v>1</v>
      </c>
      <c r="B25" s="106"/>
    </row>
    <row r="26" spans="1:14" ht="26.25" customHeight="1" x14ac:dyDescent="0.45">
      <c r="A26" s="108" t="s">
        <v>4</v>
      </c>
      <c r="B26" s="325" t="s">
        <v>124</v>
      </c>
      <c r="C26" s="325"/>
    </row>
    <row r="27" spans="1:14" ht="26.25" customHeight="1" x14ac:dyDescent="0.5">
      <c r="A27" s="109" t="s">
        <v>48</v>
      </c>
      <c r="B27" s="323" t="s">
        <v>125</v>
      </c>
      <c r="C27" s="323"/>
    </row>
    <row r="28" spans="1:14" ht="27" customHeight="1" x14ac:dyDescent="0.45">
      <c r="A28" s="109" t="s">
        <v>6</v>
      </c>
      <c r="B28" s="110">
        <v>99.15</v>
      </c>
    </row>
    <row r="29" spans="1:14" s="14" customFormat="1" ht="27" customHeight="1" x14ac:dyDescent="0.5">
      <c r="A29" s="109" t="s">
        <v>49</v>
      </c>
      <c r="B29" s="111">
        <v>0</v>
      </c>
      <c r="C29" s="300" t="s">
        <v>50</v>
      </c>
      <c r="D29" s="301"/>
      <c r="E29" s="301"/>
      <c r="F29" s="301"/>
      <c r="G29" s="302"/>
      <c r="I29" s="112"/>
      <c r="J29" s="112"/>
      <c r="K29" s="112"/>
      <c r="L29" s="112"/>
    </row>
    <row r="30" spans="1:14" s="14" customFormat="1" ht="19.5" customHeight="1" x14ac:dyDescent="0.35">
      <c r="A30" s="109" t="s">
        <v>51</v>
      </c>
      <c r="B30" s="113">
        <f>B28-B29</f>
        <v>99.15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5">
      <c r="A31" s="109" t="s">
        <v>52</v>
      </c>
      <c r="B31" s="116">
        <v>1</v>
      </c>
      <c r="C31" s="303" t="s">
        <v>53</v>
      </c>
      <c r="D31" s="304"/>
      <c r="E31" s="304"/>
      <c r="F31" s="304"/>
      <c r="G31" s="304"/>
      <c r="H31" s="305"/>
      <c r="I31" s="112"/>
      <c r="J31" s="112"/>
      <c r="K31" s="112"/>
      <c r="L31" s="112"/>
    </row>
    <row r="32" spans="1:14" s="14" customFormat="1" ht="27" customHeight="1" x14ac:dyDescent="0.45">
      <c r="A32" s="109" t="s">
        <v>54</v>
      </c>
      <c r="B32" s="116">
        <v>1</v>
      </c>
      <c r="C32" s="303" t="s">
        <v>55</v>
      </c>
      <c r="D32" s="304"/>
      <c r="E32" s="304"/>
      <c r="F32" s="304"/>
      <c r="G32" s="304"/>
      <c r="H32" s="305"/>
      <c r="I32" s="112"/>
      <c r="J32" s="112"/>
      <c r="K32" s="112"/>
      <c r="L32" s="117"/>
      <c r="M32" s="117"/>
      <c r="N32" s="118"/>
    </row>
    <row r="33" spans="1:14" s="14" customFormat="1" ht="17.25" customHeight="1" x14ac:dyDescent="0.35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" x14ac:dyDescent="0.35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5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5">
      <c r="A36" s="122" t="s">
        <v>58</v>
      </c>
      <c r="B36" s="123">
        <v>20</v>
      </c>
      <c r="C36" s="99"/>
      <c r="D36" s="306" t="s">
        <v>59</v>
      </c>
      <c r="E36" s="324"/>
      <c r="F36" s="306" t="s">
        <v>60</v>
      </c>
      <c r="G36" s="307"/>
      <c r="J36" s="112"/>
      <c r="K36" s="112"/>
      <c r="L36" s="117"/>
      <c r="M36" s="117"/>
      <c r="N36" s="118"/>
    </row>
    <row r="37" spans="1:14" s="14" customFormat="1" ht="27" customHeight="1" x14ac:dyDescent="0.45">
      <c r="A37" s="124" t="s">
        <v>61</v>
      </c>
      <c r="B37" s="125">
        <v>4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5">
      <c r="A38" s="124" t="s">
        <v>66</v>
      </c>
      <c r="B38" s="125">
        <v>20</v>
      </c>
      <c r="C38" s="131">
        <v>1</v>
      </c>
      <c r="D38" s="132">
        <v>25610444</v>
      </c>
      <c r="E38" s="133">
        <f>IF(ISBLANK(D38),"-",$D$48/$D$45*D38)</f>
        <v>27261212.655859768</v>
      </c>
      <c r="F38" s="132">
        <v>27430709</v>
      </c>
      <c r="G38" s="134">
        <f>IF(ISBLANK(F38),"-",$D$48/$F$45*F38)</f>
        <v>27310828.119967401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5">
      <c r="A39" s="124" t="s">
        <v>67</v>
      </c>
      <c r="B39" s="125">
        <v>1</v>
      </c>
      <c r="C39" s="136">
        <v>2</v>
      </c>
      <c r="D39" s="137">
        <v>25595812</v>
      </c>
      <c r="E39" s="138">
        <f>IF(ISBLANK(D39),"-",$D$48/$D$45*D39)</f>
        <v>27245637.523168568</v>
      </c>
      <c r="F39" s="137">
        <v>27411824</v>
      </c>
      <c r="G39" s="139">
        <f>IF(ISBLANK(F39),"-",$D$48/$F$45*F39)</f>
        <v>27292025.653394423</v>
      </c>
      <c r="I39" s="308">
        <f>ABS((F43/D43*D42)-F42)/D42</f>
        <v>2.0537197365441667E-3</v>
      </c>
      <c r="J39" s="112"/>
      <c r="K39" s="112"/>
      <c r="L39" s="117"/>
      <c r="M39" s="117"/>
      <c r="N39" s="118"/>
    </row>
    <row r="40" spans="1:14" ht="26.25" customHeight="1" x14ac:dyDescent="0.45">
      <c r="A40" s="124" t="s">
        <v>68</v>
      </c>
      <c r="B40" s="125">
        <v>1</v>
      </c>
      <c r="C40" s="136">
        <v>3</v>
      </c>
      <c r="D40" s="137">
        <v>25553454</v>
      </c>
      <c r="E40" s="138">
        <f>IF(ISBLANK(D40),"-",$D$48/$D$45*D40)</f>
        <v>27200549.259736788</v>
      </c>
      <c r="F40" s="137">
        <v>27381164</v>
      </c>
      <c r="G40" s="139">
        <f>IF(ISBLANK(F40),"-",$D$48/$F$45*F40)</f>
        <v>27261499.647298183</v>
      </c>
      <c r="I40" s="308"/>
      <c r="L40" s="117"/>
      <c r="M40" s="117"/>
      <c r="N40" s="140"/>
    </row>
    <row r="41" spans="1:14" ht="27" customHeight="1" x14ac:dyDescent="0.45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5">
      <c r="A42" s="124" t="s">
        <v>70</v>
      </c>
      <c r="B42" s="125">
        <v>1</v>
      </c>
      <c r="C42" s="146" t="s">
        <v>71</v>
      </c>
      <c r="D42" s="147">
        <f>AVERAGE(D38:D41)</f>
        <v>25586570</v>
      </c>
      <c r="E42" s="148">
        <f>AVERAGE(E38:E41)</f>
        <v>27235799.812921707</v>
      </c>
      <c r="F42" s="147">
        <f>AVERAGE(F38:F41)</f>
        <v>27407899</v>
      </c>
      <c r="G42" s="149">
        <f>AVERAGE(G38:G41)</f>
        <v>27288117.806886669</v>
      </c>
      <c r="H42" s="150"/>
    </row>
    <row r="43" spans="1:14" ht="26.25" customHeight="1" x14ac:dyDescent="0.45">
      <c r="A43" s="124" t="s">
        <v>72</v>
      </c>
      <c r="B43" s="125">
        <v>1</v>
      </c>
      <c r="C43" s="151" t="s">
        <v>73</v>
      </c>
      <c r="D43" s="152">
        <v>18.95</v>
      </c>
      <c r="E43" s="140"/>
      <c r="F43" s="152">
        <v>20.260000000000002</v>
      </c>
      <c r="H43" s="150"/>
    </row>
    <row r="44" spans="1:14" ht="26.25" customHeight="1" x14ac:dyDescent="0.45">
      <c r="A44" s="124" t="s">
        <v>74</v>
      </c>
      <c r="B44" s="125">
        <v>1</v>
      </c>
      <c r="C44" s="153" t="s">
        <v>75</v>
      </c>
      <c r="D44" s="154">
        <f>D43*$B$34</f>
        <v>18.95</v>
      </c>
      <c r="E44" s="155"/>
      <c r="F44" s="154">
        <f>F43*$B$34</f>
        <v>20.260000000000002</v>
      </c>
      <c r="H44" s="150"/>
    </row>
    <row r="45" spans="1:14" ht="19.5" customHeight="1" x14ac:dyDescent="0.35">
      <c r="A45" s="124" t="s">
        <v>76</v>
      </c>
      <c r="B45" s="156">
        <f>(B44/B43)*(B42/B41)*(B40/B39)*(B38/B37)*B36</f>
        <v>100</v>
      </c>
      <c r="C45" s="153" t="s">
        <v>77</v>
      </c>
      <c r="D45" s="157">
        <f>D44*$B$30/100</f>
        <v>18.788924999999999</v>
      </c>
      <c r="E45" s="158"/>
      <c r="F45" s="157">
        <f>F44*$B$30/100</f>
        <v>20.087790000000002</v>
      </c>
      <c r="H45" s="150"/>
    </row>
    <row r="46" spans="1:14" ht="19.5" customHeight="1" x14ac:dyDescent="0.35">
      <c r="A46" s="294" t="s">
        <v>78</v>
      </c>
      <c r="B46" s="295"/>
      <c r="C46" s="153" t="s">
        <v>79</v>
      </c>
      <c r="D46" s="159">
        <f>D45/$B$45</f>
        <v>0.18788924999999998</v>
      </c>
      <c r="E46" s="160"/>
      <c r="F46" s="161">
        <f>F45/$B$45</f>
        <v>0.20087790000000003</v>
      </c>
      <c r="H46" s="150"/>
    </row>
    <row r="47" spans="1:14" ht="27" customHeight="1" x14ac:dyDescent="0.45">
      <c r="A47" s="296"/>
      <c r="B47" s="297"/>
      <c r="C47" s="162" t="s">
        <v>80</v>
      </c>
      <c r="D47" s="163">
        <v>0.2</v>
      </c>
      <c r="E47" s="164"/>
      <c r="F47" s="160"/>
      <c r="H47" s="150"/>
    </row>
    <row r="48" spans="1:14" ht="18" x14ac:dyDescent="0.35">
      <c r="C48" s="165" t="s">
        <v>81</v>
      </c>
      <c r="D48" s="157">
        <f>D47*$B$45</f>
        <v>20</v>
      </c>
      <c r="F48" s="166"/>
      <c r="H48" s="150"/>
    </row>
    <row r="49" spans="1:12" ht="19.5" customHeight="1" x14ac:dyDescent="0.35">
      <c r="C49" s="167" t="s">
        <v>82</v>
      </c>
      <c r="D49" s="168">
        <f>D48/B34</f>
        <v>20</v>
      </c>
      <c r="F49" s="166"/>
      <c r="H49" s="150"/>
    </row>
    <row r="50" spans="1:12" ht="18" x14ac:dyDescent="0.35">
      <c r="C50" s="122" t="s">
        <v>83</v>
      </c>
      <c r="D50" s="169">
        <f>AVERAGE(E38:E41,G38:G41)</f>
        <v>27261958.809904188</v>
      </c>
      <c r="F50" s="170"/>
      <c r="H50" s="150"/>
    </row>
    <row r="51" spans="1:12" ht="18" x14ac:dyDescent="0.35">
      <c r="C51" s="124" t="s">
        <v>84</v>
      </c>
      <c r="D51" s="171">
        <f>STDEV(E38:E41,G38:G41)/D50</f>
        <v>1.404510587044037E-3</v>
      </c>
      <c r="F51" s="170"/>
      <c r="H51" s="150"/>
    </row>
    <row r="52" spans="1:12" ht="19.5" customHeight="1" x14ac:dyDescent="0.35">
      <c r="C52" s="172" t="s">
        <v>20</v>
      </c>
      <c r="D52" s="173">
        <f>COUNT(E38:E41,G38:G41)</f>
        <v>6</v>
      </c>
      <c r="F52" s="170"/>
    </row>
    <row r="54" spans="1:12" ht="18" x14ac:dyDescent="0.35">
      <c r="A54" s="174" t="s">
        <v>1</v>
      </c>
      <c r="B54" s="175" t="s">
        <v>85</v>
      </c>
    </row>
    <row r="55" spans="1:12" ht="18" x14ac:dyDescent="0.35">
      <c r="A55" s="99" t="s">
        <v>86</v>
      </c>
      <c r="B55" s="176" t="str">
        <f>B21</f>
        <v>Each tablet contains: 200 mg of Nevirapine USP.</v>
      </c>
    </row>
    <row r="56" spans="1:12" ht="26.25" customHeight="1" x14ac:dyDescent="0.45">
      <c r="A56" s="177" t="s">
        <v>87</v>
      </c>
      <c r="B56" s="178">
        <v>200</v>
      </c>
      <c r="C56" s="99" t="str">
        <f>B20</f>
        <v xml:space="preserve">Nevirapine </v>
      </c>
      <c r="H56" s="179"/>
    </row>
    <row r="57" spans="1:12" ht="18" x14ac:dyDescent="0.35">
      <c r="A57" s="176" t="s">
        <v>88</v>
      </c>
      <c r="B57" s="268">
        <f>Uniformity!C46</f>
        <v>361.01000000000005</v>
      </c>
      <c r="H57" s="179"/>
    </row>
    <row r="58" spans="1:12" ht="19.5" customHeight="1" x14ac:dyDescent="0.35">
      <c r="H58" s="179"/>
    </row>
    <row r="59" spans="1:12" s="14" customFormat="1" ht="27" customHeight="1" x14ac:dyDescent="0.45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5">
      <c r="A60" s="124" t="s">
        <v>93</v>
      </c>
      <c r="B60" s="125">
        <v>5</v>
      </c>
      <c r="C60" s="311" t="s">
        <v>94</v>
      </c>
      <c r="D60" s="314">
        <v>361.83</v>
      </c>
      <c r="E60" s="182">
        <v>1</v>
      </c>
      <c r="F60" s="183">
        <v>25998692</v>
      </c>
      <c r="G60" s="269">
        <f>IF(ISBLANK(F60),"-",(F60/$D$50*$D$47*$B$68)*($B$57/$D$60))</f>
        <v>190.30013541313346</v>
      </c>
      <c r="H60" s="184">
        <f t="shared" ref="H60:H71" si="0">IF(ISBLANK(F60),"-",G60/$B$56)</f>
        <v>0.95150067706566732</v>
      </c>
      <c r="L60" s="112"/>
    </row>
    <row r="61" spans="1:12" s="14" customFormat="1" ht="26.25" customHeight="1" x14ac:dyDescent="0.45">
      <c r="A61" s="124" t="s">
        <v>95</v>
      </c>
      <c r="B61" s="125">
        <v>50</v>
      </c>
      <c r="C61" s="312"/>
      <c r="D61" s="315"/>
      <c r="E61" s="185">
        <v>2</v>
      </c>
      <c r="F61" s="137">
        <v>25954109</v>
      </c>
      <c r="G61" s="270">
        <f>IF(ISBLANK(F61),"-",(F61/$D$50*$D$47*$B$68)*($B$57/$D$60))</f>
        <v>189.97380549864684</v>
      </c>
      <c r="H61" s="186">
        <f t="shared" si="0"/>
        <v>0.94986902749323421</v>
      </c>
      <c r="L61" s="112"/>
    </row>
    <row r="62" spans="1:12" s="14" customFormat="1" ht="26.25" customHeight="1" x14ac:dyDescent="0.45">
      <c r="A62" s="124" t="s">
        <v>96</v>
      </c>
      <c r="B62" s="125">
        <v>1</v>
      </c>
      <c r="C62" s="312"/>
      <c r="D62" s="315"/>
      <c r="E62" s="185">
        <v>3</v>
      </c>
      <c r="F62" s="187">
        <v>26031498</v>
      </c>
      <c r="G62" s="270">
        <f>IF(ISBLANK(F62),"-",(F62/$D$50*$D$47*$B$68)*($B$57/$D$60))</f>
        <v>190.54026234884097</v>
      </c>
      <c r="H62" s="186">
        <f t="shared" si="0"/>
        <v>0.9527013117442048</v>
      </c>
      <c r="L62" s="112"/>
    </row>
    <row r="63" spans="1:12" ht="27" customHeight="1" x14ac:dyDescent="0.45">
      <c r="A63" s="124" t="s">
        <v>97</v>
      </c>
      <c r="B63" s="125">
        <v>1</v>
      </c>
      <c r="C63" s="322"/>
      <c r="D63" s="316"/>
      <c r="E63" s="188">
        <v>4</v>
      </c>
      <c r="F63" s="189"/>
      <c r="G63" s="270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5">
      <c r="A64" s="124" t="s">
        <v>98</v>
      </c>
      <c r="B64" s="125">
        <v>1</v>
      </c>
      <c r="C64" s="311" t="s">
        <v>99</v>
      </c>
      <c r="D64" s="314">
        <v>360.92</v>
      </c>
      <c r="E64" s="182">
        <v>1</v>
      </c>
      <c r="F64" s="183">
        <v>26142058</v>
      </c>
      <c r="G64" s="271">
        <f>IF(ISBLANK(F64),"-",(F64/$D$50*$D$47*$B$68)*($B$57/$D$64))</f>
        <v>191.83197390573179</v>
      </c>
      <c r="H64" s="190">
        <f t="shared" si="0"/>
        <v>0.95915986952865895</v>
      </c>
    </row>
    <row r="65" spans="1:8" ht="26.25" customHeight="1" x14ac:dyDescent="0.45">
      <c r="A65" s="124" t="s">
        <v>100</v>
      </c>
      <c r="B65" s="125">
        <v>1</v>
      </c>
      <c r="C65" s="312"/>
      <c r="D65" s="315"/>
      <c r="E65" s="185">
        <v>2</v>
      </c>
      <c r="F65" s="137">
        <v>26213929</v>
      </c>
      <c r="G65" s="272">
        <f>IF(ISBLANK(F65),"-",(F65/$D$50*$D$47*$B$68)*($B$57/$D$64))</f>
        <v>192.35936757139419</v>
      </c>
      <c r="H65" s="191">
        <f t="shared" si="0"/>
        <v>0.9617968378569709</v>
      </c>
    </row>
    <row r="66" spans="1:8" ht="26.25" customHeight="1" x14ac:dyDescent="0.45">
      <c r="A66" s="124" t="s">
        <v>101</v>
      </c>
      <c r="B66" s="125">
        <v>1</v>
      </c>
      <c r="C66" s="312"/>
      <c r="D66" s="315"/>
      <c r="E66" s="185">
        <v>3</v>
      </c>
      <c r="F66" s="137">
        <v>26205277</v>
      </c>
      <c r="G66" s="272">
        <f>IF(ISBLANK(F66),"-",(F66/$D$50*$D$47*$B$68)*($B$57/$D$64))</f>
        <v>192.29587868164293</v>
      </c>
      <c r="H66" s="191">
        <f t="shared" si="0"/>
        <v>0.96147939340821464</v>
      </c>
    </row>
    <row r="67" spans="1:8" ht="27" customHeight="1" x14ac:dyDescent="0.45">
      <c r="A67" s="124" t="s">
        <v>102</v>
      </c>
      <c r="B67" s="125">
        <v>1</v>
      </c>
      <c r="C67" s="322"/>
      <c r="D67" s="316"/>
      <c r="E67" s="188">
        <v>4</v>
      </c>
      <c r="F67" s="189"/>
      <c r="G67" s="273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5">
      <c r="A68" s="124" t="s">
        <v>103</v>
      </c>
      <c r="B68" s="193">
        <f>(B67/B66)*(B65/B64)*(B63/B62)*(B61/B60)*B59</f>
        <v>1000</v>
      </c>
      <c r="C68" s="311" t="s">
        <v>104</v>
      </c>
      <c r="D68" s="314">
        <v>363.57</v>
      </c>
      <c r="E68" s="182">
        <v>1</v>
      </c>
      <c r="F68" s="183">
        <v>26393130</v>
      </c>
      <c r="G68" s="271">
        <f>IF(ISBLANK(F68),"-",(F68/$D$50*$D$47*$B$68)*($B$57/$D$68))</f>
        <v>192.26269565924125</v>
      </c>
      <c r="H68" s="186">
        <f t="shared" si="0"/>
        <v>0.96131347829620628</v>
      </c>
    </row>
    <row r="69" spans="1:8" ht="27" customHeight="1" x14ac:dyDescent="0.5">
      <c r="A69" s="172" t="s">
        <v>105</v>
      </c>
      <c r="B69" s="194">
        <f>(D47*B68)/B56*B57</f>
        <v>361.01000000000005</v>
      </c>
      <c r="C69" s="312"/>
      <c r="D69" s="315"/>
      <c r="E69" s="185">
        <v>2</v>
      </c>
      <c r="F69" s="137">
        <v>26317525</v>
      </c>
      <c r="G69" s="272">
        <f>IF(ISBLANK(F69),"-",(F69/$D$50*$D$47*$B$68)*($B$57/$D$68))</f>
        <v>191.711945478974</v>
      </c>
      <c r="H69" s="186">
        <f t="shared" si="0"/>
        <v>0.95855972739487005</v>
      </c>
    </row>
    <row r="70" spans="1:8" ht="26.25" customHeight="1" x14ac:dyDescent="0.45">
      <c r="A70" s="317" t="s">
        <v>78</v>
      </c>
      <c r="B70" s="318"/>
      <c r="C70" s="312"/>
      <c r="D70" s="315"/>
      <c r="E70" s="185">
        <v>3</v>
      </c>
      <c r="F70" s="137">
        <v>26356487</v>
      </c>
      <c r="G70" s="272">
        <f>IF(ISBLANK(F70),"-",(F70/$D$50*$D$47*$B$68)*($B$57/$D$68))</f>
        <v>191.99576703209317</v>
      </c>
      <c r="H70" s="186">
        <f t="shared" si="0"/>
        <v>0.95997883516046589</v>
      </c>
    </row>
    <row r="71" spans="1:8" ht="27" customHeight="1" x14ac:dyDescent="0.45">
      <c r="A71" s="319"/>
      <c r="B71" s="320"/>
      <c r="C71" s="313"/>
      <c r="D71" s="316"/>
      <c r="E71" s="188">
        <v>4</v>
      </c>
      <c r="F71" s="189"/>
      <c r="G71" s="273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5">
      <c r="A72" s="196"/>
      <c r="B72" s="196"/>
      <c r="C72" s="196"/>
      <c r="D72" s="196"/>
      <c r="E72" s="196"/>
      <c r="F72" s="198" t="s">
        <v>71</v>
      </c>
      <c r="G72" s="278">
        <f>AVERAGE(G60:G71)</f>
        <v>191.47464795441095</v>
      </c>
      <c r="H72" s="199">
        <f>AVERAGE(H60:H71)</f>
        <v>0.95737323977205468</v>
      </c>
    </row>
    <row r="73" spans="1:8" ht="26.25" customHeight="1" x14ac:dyDescent="0.45">
      <c r="C73" s="196"/>
      <c r="D73" s="196"/>
      <c r="E73" s="196"/>
      <c r="F73" s="200" t="s">
        <v>84</v>
      </c>
      <c r="G73" s="274">
        <f>STDEV(G60:G71)/G72</f>
        <v>4.8988407614775813E-3</v>
      </c>
      <c r="H73" s="274">
        <f>STDEV(H60:H71)/H72</f>
        <v>4.8988407614775874E-3</v>
      </c>
    </row>
    <row r="74" spans="1:8" ht="27" customHeight="1" x14ac:dyDescent="0.45">
      <c r="A74" s="196"/>
      <c r="B74" s="196"/>
      <c r="C74" s="197"/>
      <c r="D74" s="197"/>
      <c r="E74" s="201"/>
      <c r="F74" s="202" t="s">
        <v>20</v>
      </c>
      <c r="G74" s="203">
        <f>COUNT(G60:G71)</f>
        <v>9</v>
      </c>
      <c r="H74" s="203">
        <f>COUNT(H60:H71)</f>
        <v>9</v>
      </c>
    </row>
    <row r="76" spans="1:8" ht="26.25" customHeight="1" x14ac:dyDescent="0.45">
      <c r="A76" s="108" t="s">
        <v>106</v>
      </c>
      <c r="B76" s="204" t="s">
        <v>107</v>
      </c>
      <c r="C76" s="298" t="str">
        <f>B20</f>
        <v xml:space="preserve">Nevirapine </v>
      </c>
      <c r="D76" s="298"/>
      <c r="E76" s="205" t="s">
        <v>108</v>
      </c>
      <c r="F76" s="205"/>
      <c r="G76" s="206">
        <f>H72</f>
        <v>0.95737323977205468</v>
      </c>
      <c r="H76" s="207"/>
    </row>
    <row r="77" spans="1:8" ht="18" x14ac:dyDescent="0.35">
      <c r="A77" s="107" t="s">
        <v>109</v>
      </c>
      <c r="B77" s="107" t="s">
        <v>110</v>
      </c>
    </row>
    <row r="78" spans="1:8" ht="18" x14ac:dyDescent="0.35">
      <c r="A78" s="107"/>
      <c r="B78" s="107"/>
    </row>
    <row r="79" spans="1:8" ht="26.25" customHeight="1" x14ac:dyDescent="0.45">
      <c r="A79" s="108" t="s">
        <v>4</v>
      </c>
      <c r="B79" s="321" t="str">
        <f>B26</f>
        <v>Nevirapine</v>
      </c>
      <c r="C79" s="321"/>
    </row>
    <row r="80" spans="1:8" ht="26.25" customHeight="1" x14ac:dyDescent="0.45">
      <c r="A80" s="109" t="s">
        <v>48</v>
      </c>
      <c r="B80" s="321" t="str">
        <f>B27</f>
        <v>N1-3</v>
      </c>
      <c r="C80" s="321"/>
    </row>
    <row r="81" spans="1:12" ht="27" customHeight="1" x14ac:dyDescent="0.45">
      <c r="A81" s="109" t="s">
        <v>6</v>
      </c>
      <c r="B81" s="208">
        <f>B28</f>
        <v>99.15</v>
      </c>
    </row>
    <row r="82" spans="1:12" s="14" customFormat="1" ht="27" customHeight="1" x14ac:dyDescent="0.5">
      <c r="A82" s="109" t="s">
        <v>49</v>
      </c>
      <c r="B82" s="111">
        <v>0</v>
      </c>
      <c r="C82" s="300" t="s">
        <v>50</v>
      </c>
      <c r="D82" s="301"/>
      <c r="E82" s="301"/>
      <c r="F82" s="301"/>
      <c r="G82" s="302"/>
      <c r="I82" s="112"/>
      <c r="J82" s="112"/>
      <c r="K82" s="112"/>
      <c r="L82" s="112"/>
    </row>
    <row r="83" spans="1:12" s="14" customFormat="1" ht="19.5" customHeight="1" x14ac:dyDescent="0.35">
      <c r="A83" s="109" t="s">
        <v>51</v>
      </c>
      <c r="B83" s="113">
        <f>B81-B82</f>
        <v>99.15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5">
      <c r="A84" s="109" t="s">
        <v>52</v>
      </c>
      <c r="B84" s="116">
        <v>1</v>
      </c>
      <c r="C84" s="303" t="s">
        <v>111</v>
      </c>
      <c r="D84" s="304"/>
      <c r="E84" s="304"/>
      <c r="F84" s="304"/>
      <c r="G84" s="304"/>
      <c r="H84" s="305"/>
      <c r="I84" s="112"/>
      <c r="J84" s="112"/>
      <c r="K84" s="112"/>
      <c r="L84" s="112"/>
    </row>
    <row r="85" spans="1:12" s="14" customFormat="1" ht="27" customHeight="1" x14ac:dyDescent="0.45">
      <c r="A85" s="109" t="s">
        <v>54</v>
      </c>
      <c r="B85" s="116">
        <v>1</v>
      </c>
      <c r="C85" s="303" t="s">
        <v>112</v>
      </c>
      <c r="D85" s="304"/>
      <c r="E85" s="304"/>
      <c r="F85" s="304"/>
      <c r="G85" s="304"/>
      <c r="H85" s="305"/>
      <c r="I85" s="112"/>
      <c r="J85" s="112"/>
      <c r="K85" s="112"/>
      <c r="L85" s="112"/>
    </row>
    <row r="86" spans="1:12" s="14" customFormat="1" ht="18" x14ac:dyDescent="0.35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" x14ac:dyDescent="0.35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5">
      <c r="A88" s="107"/>
      <c r="B88" s="107"/>
    </row>
    <row r="89" spans="1:12" ht="27" customHeight="1" x14ac:dyDescent="0.45">
      <c r="A89" s="122" t="s">
        <v>58</v>
      </c>
      <c r="B89" s="123">
        <v>20</v>
      </c>
      <c r="D89" s="209" t="s">
        <v>59</v>
      </c>
      <c r="E89" s="210"/>
      <c r="F89" s="306" t="s">
        <v>60</v>
      </c>
      <c r="G89" s="307"/>
    </row>
    <row r="90" spans="1:12" ht="27" customHeight="1" x14ac:dyDescent="0.45">
      <c r="A90" s="124" t="s">
        <v>61</v>
      </c>
      <c r="B90" s="125">
        <v>4</v>
      </c>
      <c r="C90" s="211" t="s">
        <v>62</v>
      </c>
      <c r="D90" s="127" t="s">
        <v>63</v>
      </c>
      <c r="E90" s="128" t="s">
        <v>64</v>
      </c>
      <c r="F90" s="127" t="s">
        <v>63</v>
      </c>
      <c r="G90" s="212" t="s">
        <v>64</v>
      </c>
      <c r="I90" s="130" t="s">
        <v>65</v>
      </c>
    </row>
    <row r="91" spans="1:12" ht="26.25" customHeight="1" x14ac:dyDescent="0.45">
      <c r="A91" s="124" t="s">
        <v>66</v>
      </c>
      <c r="B91" s="125">
        <v>20</v>
      </c>
      <c r="C91" s="213">
        <v>1</v>
      </c>
      <c r="D91" s="132">
        <v>28825901</v>
      </c>
      <c r="E91" s="133">
        <f>IF(ISBLANK(D91),"-",$D$101/$D$98*D91)</f>
        <v>30575823.404655509</v>
      </c>
      <c r="F91" s="132">
        <v>24776873</v>
      </c>
      <c r="G91" s="134">
        <f>IF(ISBLANK(F91),"-",$D$101/$F$98*F91)</f>
        <v>30114825.13390816</v>
      </c>
      <c r="I91" s="135"/>
    </row>
    <row r="92" spans="1:12" ht="26.25" customHeight="1" x14ac:dyDescent="0.45">
      <c r="A92" s="124" t="s">
        <v>67</v>
      </c>
      <c r="B92" s="125">
        <v>1</v>
      </c>
      <c r="C92" s="197">
        <v>2</v>
      </c>
      <c r="D92" s="137">
        <v>28781812</v>
      </c>
      <c r="E92" s="138">
        <f>IF(ISBLANK(D92),"-",$D$101/$D$98*D92)</f>
        <v>30529057.911424685</v>
      </c>
      <c r="F92" s="137">
        <v>24668019</v>
      </c>
      <c r="G92" s="139">
        <f>IF(ISBLANK(F92),"-",$D$101/$F$98*F92)</f>
        <v>29982519.528793</v>
      </c>
      <c r="I92" s="308">
        <f>ABS((F96/D96*D95)-F95)/D95</f>
        <v>1.2726047755086312E-2</v>
      </c>
    </row>
    <row r="93" spans="1:12" ht="26.25" customHeight="1" x14ac:dyDescent="0.45">
      <c r="A93" s="124" t="s">
        <v>68</v>
      </c>
      <c r="B93" s="125">
        <v>1</v>
      </c>
      <c r="C93" s="197">
        <v>3</v>
      </c>
      <c r="D93" s="137">
        <v>28763337</v>
      </c>
      <c r="E93" s="138">
        <f>IF(ISBLANK(D93),"-",$D$101/$D$98*D93)</f>
        <v>30509461.357013397</v>
      </c>
      <c r="F93" s="137">
        <v>24831344</v>
      </c>
      <c r="G93" s="139">
        <f>IF(ISBLANK(F93),"-",$D$101/$F$98*F93)</f>
        <v>30181031.415865898</v>
      </c>
      <c r="I93" s="308"/>
    </row>
    <row r="94" spans="1:12" ht="27" customHeight="1" x14ac:dyDescent="0.45">
      <c r="A94" s="124" t="s">
        <v>69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x14ac:dyDescent="0.45">
      <c r="A95" s="124" t="s">
        <v>70</v>
      </c>
      <c r="B95" s="125">
        <v>1</v>
      </c>
      <c r="C95" s="216" t="s">
        <v>71</v>
      </c>
      <c r="D95" s="217">
        <f>AVERAGE(D91:D94)</f>
        <v>28790350</v>
      </c>
      <c r="E95" s="148">
        <f>AVERAGE(E91:E94)</f>
        <v>30538114.22436453</v>
      </c>
      <c r="F95" s="218">
        <f>AVERAGE(F91:F94)</f>
        <v>24758745.333333332</v>
      </c>
      <c r="G95" s="219">
        <f>AVERAGE(G91:G94)</f>
        <v>30092792.026189018</v>
      </c>
    </row>
    <row r="96" spans="1:12" ht="26.25" customHeight="1" x14ac:dyDescent="0.45">
      <c r="A96" s="124" t="s">
        <v>72</v>
      </c>
      <c r="B96" s="110">
        <v>1</v>
      </c>
      <c r="C96" s="220" t="s">
        <v>113</v>
      </c>
      <c r="D96" s="221">
        <v>21.13</v>
      </c>
      <c r="E96" s="140"/>
      <c r="F96" s="152">
        <v>18.440000000000001</v>
      </c>
    </row>
    <row r="97" spans="1:10" ht="26.25" customHeight="1" x14ac:dyDescent="0.45">
      <c r="A97" s="124" t="s">
        <v>74</v>
      </c>
      <c r="B97" s="110">
        <v>1</v>
      </c>
      <c r="C97" s="222" t="s">
        <v>114</v>
      </c>
      <c r="D97" s="223">
        <f>D96*$B$87</f>
        <v>21.13</v>
      </c>
      <c r="E97" s="155"/>
      <c r="F97" s="154">
        <f>F96*$B$87</f>
        <v>18.440000000000001</v>
      </c>
    </row>
    <row r="98" spans="1:10" ht="19.5" customHeight="1" x14ac:dyDescent="0.35">
      <c r="A98" s="124" t="s">
        <v>76</v>
      </c>
      <c r="B98" s="224">
        <f>(B97/B96)*(B95/B94)*(B93/B92)*(B91/B90)*B89</f>
        <v>100</v>
      </c>
      <c r="C98" s="222" t="s">
        <v>115</v>
      </c>
      <c r="D98" s="225">
        <f>D97*$B$83/100</f>
        <v>20.950395</v>
      </c>
      <c r="E98" s="158"/>
      <c r="F98" s="157">
        <f>F97*$B$83/100</f>
        <v>18.283260000000002</v>
      </c>
    </row>
    <row r="99" spans="1:10" ht="19.5" customHeight="1" x14ac:dyDescent="0.35">
      <c r="A99" s="294" t="s">
        <v>78</v>
      </c>
      <c r="B99" s="309"/>
      <c r="C99" s="222" t="s">
        <v>116</v>
      </c>
      <c r="D99" s="226">
        <f>D98/$B$98</f>
        <v>0.20950394999999999</v>
      </c>
      <c r="E99" s="158"/>
      <c r="F99" s="161">
        <f>F98/$B$98</f>
        <v>0.18283260000000001</v>
      </c>
      <c r="G99" s="227"/>
      <c r="H99" s="150"/>
    </row>
    <row r="100" spans="1:10" ht="19.5" customHeight="1" x14ac:dyDescent="0.35">
      <c r="A100" s="296"/>
      <c r="B100" s="310"/>
      <c r="C100" s="222" t="s">
        <v>80</v>
      </c>
      <c r="D100" s="228">
        <f>$B$56/$B$116</f>
        <v>0.22222222222222221</v>
      </c>
      <c r="F100" s="166"/>
      <c r="G100" s="229"/>
      <c r="H100" s="150"/>
    </row>
    <row r="101" spans="1:10" ht="18" x14ac:dyDescent="0.35">
      <c r="C101" s="222" t="s">
        <v>81</v>
      </c>
      <c r="D101" s="223">
        <f>D100*$B$98</f>
        <v>22.222222222222221</v>
      </c>
      <c r="F101" s="166"/>
      <c r="G101" s="227"/>
      <c r="H101" s="150"/>
    </row>
    <row r="102" spans="1:10" ht="19.5" customHeight="1" x14ac:dyDescent="0.35">
      <c r="C102" s="230" t="s">
        <v>82</v>
      </c>
      <c r="D102" s="231">
        <f>D101/B34</f>
        <v>22.222222222222221</v>
      </c>
      <c r="F102" s="170"/>
      <c r="G102" s="227"/>
      <c r="H102" s="150"/>
      <c r="J102" s="232"/>
    </row>
    <row r="103" spans="1:10" ht="18" x14ac:dyDescent="0.35">
      <c r="C103" s="233" t="s">
        <v>117</v>
      </c>
      <c r="D103" s="234">
        <f>AVERAGE(E91:E94,G91:G94)</f>
        <v>30315453.125276774</v>
      </c>
      <c r="F103" s="170"/>
      <c r="G103" s="235"/>
      <c r="H103" s="150"/>
      <c r="J103" s="236"/>
    </row>
    <row r="104" spans="1:10" ht="18" x14ac:dyDescent="0.35">
      <c r="C104" s="200" t="s">
        <v>84</v>
      </c>
      <c r="D104" s="237">
        <f>STDEV(E91:E94,G91:G94)/D103</f>
        <v>8.3479180374415405E-3</v>
      </c>
      <c r="F104" s="170"/>
      <c r="G104" s="227"/>
      <c r="H104" s="150"/>
      <c r="J104" s="236"/>
    </row>
    <row r="105" spans="1:10" ht="19.5" customHeight="1" x14ac:dyDescent="0.35">
      <c r="C105" s="202" t="s">
        <v>20</v>
      </c>
      <c r="D105" s="238">
        <f>COUNT(E91:E94,G91:G94)</f>
        <v>6</v>
      </c>
      <c r="F105" s="170"/>
      <c r="G105" s="227"/>
      <c r="H105" s="150"/>
      <c r="J105" s="236"/>
    </row>
    <row r="106" spans="1:10" ht="19.5" customHeight="1" x14ac:dyDescent="0.35">
      <c r="A106" s="174"/>
      <c r="B106" s="174"/>
      <c r="C106" s="174"/>
      <c r="D106" s="174"/>
      <c r="E106" s="174"/>
    </row>
    <row r="107" spans="1:10" ht="26.25" customHeight="1" x14ac:dyDescent="0.45">
      <c r="A107" s="122" t="s">
        <v>118</v>
      </c>
      <c r="B107" s="123">
        <v>900</v>
      </c>
      <c r="C107" s="239" t="s">
        <v>128</v>
      </c>
      <c r="D107" s="240" t="s">
        <v>63</v>
      </c>
      <c r="E107" s="241" t="s">
        <v>119</v>
      </c>
      <c r="F107" s="242" t="s">
        <v>120</v>
      </c>
    </row>
    <row r="108" spans="1:10" ht="26.25" customHeight="1" x14ac:dyDescent="0.45">
      <c r="A108" s="124" t="s">
        <v>121</v>
      </c>
      <c r="B108" s="125">
        <v>1</v>
      </c>
      <c r="C108" s="243">
        <v>1</v>
      </c>
      <c r="D108" s="244">
        <v>29582894</v>
      </c>
      <c r="E108" s="275">
        <f t="shared" ref="E108:E113" si="1">IF(ISBLANK(D108),"-",D108/$D$103*$D$100*$B$116)</f>
        <v>195.16709103934866</v>
      </c>
      <c r="F108" s="245">
        <f t="shared" ref="F108:F113" si="2">IF(ISBLANK(D108), "-", E108/$B$56)</f>
        <v>0.97583545519674331</v>
      </c>
    </row>
    <row r="109" spans="1:10" ht="26.25" customHeight="1" x14ac:dyDescent="0.45">
      <c r="A109" s="124" t="s">
        <v>95</v>
      </c>
      <c r="B109" s="125">
        <v>1</v>
      </c>
      <c r="C109" s="243">
        <v>2</v>
      </c>
      <c r="D109" s="244">
        <v>29867004</v>
      </c>
      <c r="E109" s="276">
        <f t="shared" si="1"/>
        <v>197.04144864057557</v>
      </c>
      <c r="F109" s="246">
        <f t="shared" si="2"/>
        <v>0.98520724320287778</v>
      </c>
    </row>
    <row r="110" spans="1:10" ht="26.25" customHeight="1" x14ac:dyDescent="0.45">
      <c r="A110" s="124" t="s">
        <v>96</v>
      </c>
      <c r="B110" s="125">
        <v>1</v>
      </c>
      <c r="C110" s="243">
        <v>3</v>
      </c>
      <c r="D110" s="244">
        <v>30224240</v>
      </c>
      <c r="E110" s="276">
        <f t="shared" si="1"/>
        <v>199.39824006654399</v>
      </c>
      <c r="F110" s="246">
        <f t="shared" si="2"/>
        <v>0.99699120033271993</v>
      </c>
    </row>
    <row r="111" spans="1:10" ht="26.25" customHeight="1" x14ac:dyDescent="0.45">
      <c r="A111" s="124" t="s">
        <v>97</v>
      </c>
      <c r="B111" s="125">
        <v>1</v>
      </c>
      <c r="C111" s="243">
        <v>4</v>
      </c>
      <c r="D111" s="244">
        <v>30704699</v>
      </c>
      <c r="E111" s="276">
        <f t="shared" si="1"/>
        <v>202.56797002581285</v>
      </c>
      <c r="F111" s="246">
        <f t="shared" si="2"/>
        <v>1.0128398501290643</v>
      </c>
    </row>
    <row r="112" spans="1:10" ht="26.25" customHeight="1" x14ac:dyDescent="0.45">
      <c r="A112" s="124" t="s">
        <v>98</v>
      </c>
      <c r="B112" s="125">
        <v>1</v>
      </c>
      <c r="C112" s="243">
        <v>5</v>
      </c>
      <c r="D112" s="244">
        <v>30537072</v>
      </c>
      <c r="E112" s="276">
        <f t="shared" si="1"/>
        <v>201.46208518676858</v>
      </c>
      <c r="F112" s="246">
        <f t="shared" si="2"/>
        <v>1.0073104259338428</v>
      </c>
    </row>
    <row r="113" spans="1:10" ht="26.25" customHeight="1" x14ac:dyDescent="0.45">
      <c r="A113" s="124" t="s">
        <v>100</v>
      </c>
      <c r="B113" s="125">
        <v>1</v>
      </c>
      <c r="C113" s="247">
        <v>6</v>
      </c>
      <c r="D113" s="248">
        <v>29236408</v>
      </c>
      <c r="E113" s="277">
        <f t="shared" si="1"/>
        <v>192.88122053912448</v>
      </c>
      <c r="F113" s="249">
        <f t="shared" si="2"/>
        <v>0.96440610269562244</v>
      </c>
    </row>
    <row r="114" spans="1:10" ht="26.25" customHeight="1" x14ac:dyDescent="0.45">
      <c r="A114" s="124" t="s">
        <v>101</v>
      </c>
      <c r="B114" s="125">
        <v>1</v>
      </c>
      <c r="C114" s="243"/>
      <c r="D114" s="197"/>
      <c r="E114" s="98"/>
      <c r="F114" s="250"/>
    </row>
    <row r="115" spans="1:10" ht="26.25" customHeight="1" x14ac:dyDescent="0.45">
      <c r="A115" s="124" t="s">
        <v>102</v>
      </c>
      <c r="B115" s="125">
        <v>1</v>
      </c>
      <c r="C115" s="243"/>
      <c r="D115" s="251" t="s">
        <v>71</v>
      </c>
      <c r="E115" s="279">
        <f>AVERAGE(E108:E113)</f>
        <v>198.08634258302902</v>
      </c>
      <c r="F115" s="252">
        <f>AVERAGE(F108:F113)</f>
        <v>0.9904317129151452</v>
      </c>
    </row>
    <row r="116" spans="1:10" ht="27" customHeight="1" x14ac:dyDescent="0.45">
      <c r="A116" s="124" t="s">
        <v>103</v>
      </c>
      <c r="B116" s="156">
        <f>(B115/B114)*(B113/B112)*(B111/B110)*(B109/B108)*B107</f>
        <v>900</v>
      </c>
      <c r="C116" s="253"/>
      <c r="D116" s="216" t="s">
        <v>84</v>
      </c>
      <c r="E116" s="254">
        <f>STDEV(E108:E113)/E115</f>
        <v>1.8876717186834362E-2</v>
      </c>
      <c r="F116" s="254">
        <f>STDEV(F108:F113)/F115</f>
        <v>1.8876717186834344E-2</v>
      </c>
      <c r="I116" s="98"/>
    </row>
    <row r="117" spans="1:10" ht="27" customHeight="1" x14ac:dyDescent="0.45">
      <c r="A117" s="294" t="s">
        <v>78</v>
      </c>
      <c r="B117" s="295"/>
      <c r="C117" s="255"/>
      <c r="D117" s="256" t="s">
        <v>20</v>
      </c>
      <c r="E117" s="257">
        <f>COUNT(E108:E113)</f>
        <v>6</v>
      </c>
      <c r="F117" s="257">
        <f>COUNT(F108:F113)</f>
        <v>6</v>
      </c>
      <c r="I117" s="98"/>
      <c r="J117" s="236"/>
    </row>
    <row r="118" spans="1:10" ht="19.5" customHeight="1" x14ac:dyDescent="0.35">
      <c r="A118" s="296"/>
      <c r="B118" s="297"/>
      <c r="C118" s="98"/>
      <c r="D118" s="98"/>
      <c r="E118" s="98"/>
      <c r="F118" s="197"/>
      <c r="G118" s="98"/>
      <c r="H118" s="98"/>
      <c r="I118" s="98"/>
    </row>
    <row r="119" spans="1:10" ht="18" x14ac:dyDescent="0.35">
      <c r="A119" s="266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5">
      <c r="A120" s="108" t="s">
        <v>106</v>
      </c>
      <c r="B120" s="204" t="s">
        <v>122</v>
      </c>
      <c r="C120" s="298" t="str">
        <f>B20</f>
        <v xml:space="preserve">Nevirapine </v>
      </c>
      <c r="D120" s="298"/>
      <c r="E120" s="205" t="s">
        <v>123</v>
      </c>
      <c r="F120" s="205"/>
      <c r="G120" s="206">
        <f>F115</f>
        <v>0.9904317129151452</v>
      </c>
      <c r="H120" s="98"/>
      <c r="I120" s="98"/>
    </row>
    <row r="121" spans="1:10" ht="19.5" customHeight="1" x14ac:dyDescent="0.35">
      <c r="A121" s="258"/>
      <c r="B121" s="258"/>
      <c r="C121" s="259"/>
      <c r="D121" s="259"/>
      <c r="E121" s="259"/>
      <c r="F121" s="259"/>
      <c r="G121" s="259"/>
      <c r="H121" s="259"/>
    </row>
    <row r="122" spans="1:10" ht="18" x14ac:dyDescent="0.35">
      <c r="B122" s="299" t="s">
        <v>26</v>
      </c>
      <c r="C122" s="299"/>
      <c r="E122" s="211" t="s">
        <v>27</v>
      </c>
      <c r="F122" s="260"/>
      <c r="G122" s="299" t="s">
        <v>28</v>
      </c>
      <c r="H122" s="299"/>
    </row>
    <row r="123" spans="1:10" ht="69.900000000000006" customHeight="1" x14ac:dyDescent="0.35">
      <c r="A123" s="261" t="s">
        <v>29</v>
      </c>
      <c r="B123" s="262"/>
      <c r="C123" s="262"/>
      <c r="E123" s="262"/>
      <c r="F123" s="98"/>
      <c r="G123" s="263"/>
      <c r="H123" s="263"/>
    </row>
    <row r="124" spans="1:10" ht="69.900000000000006" customHeight="1" x14ac:dyDescent="0.35">
      <c r="A124" s="261" t="s">
        <v>30</v>
      </c>
      <c r="B124" s="264"/>
      <c r="C124" s="264"/>
      <c r="E124" s="264"/>
      <c r="F124" s="98"/>
      <c r="G124" s="265"/>
      <c r="H124" s="265"/>
    </row>
    <row r="125" spans="1:10" ht="18" x14ac:dyDescent="0.35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" x14ac:dyDescent="0.35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" x14ac:dyDescent="0.35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" x14ac:dyDescent="0.35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" x14ac:dyDescent="0.35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" x14ac:dyDescent="0.35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" x14ac:dyDescent="0.35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" x14ac:dyDescent="0.35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" x14ac:dyDescent="0.35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3">
      <c r="A250" s="2">
        <v>5</v>
      </c>
    </row>
  </sheetData>
  <sheetProtection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SST</vt:lpstr>
      <vt:lpstr>Uniformity</vt:lpstr>
      <vt:lpstr>NEVIRAPINE</vt:lpstr>
      <vt:lpstr>NEVIRAPINE!Print_Area</vt:lpstr>
      <vt:lpstr>SST!Print_Area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2016-05-23T07:16:00Z</cp:lastPrinted>
  <dcterms:created xsi:type="dcterms:W3CDTF">2005-07-05T10:19:27Z</dcterms:created>
  <dcterms:modified xsi:type="dcterms:W3CDTF">2016-06-07T14:32:15Z</dcterms:modified>
</cp:coreProperties>
</file>