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3"/>
  </bookViews>
  <sheets>
    <sheet name="SST T" sheetId="5" r:id="rId1"/>
    <sheet name="SST S" sheetId="1" r:id="rId2"/>
    <sheet name="Uniformity" sheetId="2" r:id="rId3"/>
    <sheet name="Trimethoprim" sheetId="3" r:id="rId4"/>
    <sheet name="Sulphamethoxazole" sheetId="4" r:id="rId5"/>
  </sheets>
  <definedNames>
    <definedName name="_xlnm.Print_Area" localSheetId="4">Sulphamethoxazole!$A$1:$I$125</definedName>
    <definedName name="_xlnm.Print_Area" localSheetId="3">Trimethoprim!$A$1:$I$125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4" i="1" l="1"/>
  <c r="F52" i="1"/>
  <c r="E52" i="1"/>
  <c r="D52" i="1"/>
  <c r="C52" i="1"/>
  <c r="B52" i="1"/>
  <c r="B53" i="1" s="1"/>
  <c r="F30" i="1"/>
  <c r="B31" i="5"/>
  <c r="E30" i="5"/>
  <c r="D30" i="5"/>
  <c r="B30" i="5"/>
  <c r="C30" i="5"/>
  <c r="B20" i="1" l="1"/>
  <c r="B21" i="1" s="1"/>
  <c r="B20" i="5"/>
  <c r="B21" i="5" s="1"/>
  <c r="B23" i="4"/>
  <c r="B22" i="4"/>
  <c r="F96" i="3"/>
  <c r="D96" i="3"/>
  <c r="F96" i="4"/>
  <c r="D96" i="4"/>
  <c r="D97" i="4" s="1"/>
  <c r="D68" i="4"/>
  <c r="D64" i="4"/>
  <c r="D60" i="4"/>
  <c r="B53" i="5"/>
  <c r="E51" i="5"/>
  <c r="D51" i="5"/>
  <c r="C51" i="5"/>
  <c r="B51" i="5"/>
  <c r="B52" i="5" s="1"/>
  <c r="B32" i="5"/>
  <c r="C120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D50" i="2" s="1"/>
  <c r="C45" i="2"/>
  <c r="C19" i="2"/>
  <c r="B32" i="1"/>
  <c r="E30" i="1"/>
  <c r="D30" i="1"/>
  <c r="C30" i="1"/>
  <c r="B30" i="1"/>
  <c r="B31" i="1" s="1"/>
  <c r="D97" i="3" l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D98" i="4"/>
  <c r="B69" i="3"/>
  <c r="D98" i="3"/>
  <c r="F98" i="4"/>
  <c r="D29" i="2"/>
  <c r="D33" i="2"/>
  <c r="D41" i="2"/>
  <c r="C50" i="2"/>
  <c r="D27" i="2"/>
  <c r="D31" i="2"/>
  <c r="D35" i="2"/>
  <c r="D39" i="2"/>
  <c r="D43" i="2"/>
  <c r="C49" i="2"/>
  <c r="E94" i="3"/>
  <c r="F44" i="4"/>
  <c r="F45" i="4" s="1"/>
  <c r="G39" i="4" s="1"/>
  <c r="G92" i="4"/>
  <c r="D24" i="2"/>
  <c r="D28" i="2"/>
  <c r="D32" i="2"/>
  <c r="D36" i="2"/>
  <c r="D40" i="2"/>
  <c r="D49" i="2"/>
  <c r="B57" i="3"/>
  <c r="G94" i="3"/>
  <c r="E41" i="4"/>
  <c r="B57" i="4"/>
  <c r="B69" i="4" s="1"/>
  <c r="D25" i="2"/>
  <c r="D37" i="2"/>
  <c r="D26" i="2"/>
  <c r="D30" i="2"/>
  <c r="D34" i="2"/>
  <c r="D38" i="2"/>
  <c r="D42" i="2"/>
  <c r="B49" i="2"/>
  <c r="E40" i="4"/>
  <c r="G93" i="3" l="1"/>
  <c r="E91" i="4"/>
  <c r="E92" i="3"/>
  <c r="E91" i="3"/>
  <c r="E94" i="4"/>
  <c r="G93" i="4"/>
  <c r="D102" i="4"/>
  <c r="E92" i="4"/>
  <c r="E39" i="4"/>
  <c r="E38" i="4"/>
  <c r="E42" i="4" s="1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D103" i="3" l="1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/>
  <c r="H68" i="3" s="1"/>
  <c r="E108" i="3" l="1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H60" i="4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<sst xmlns="http://schemas.openxmlformats.org/spreadsheetml/2006/main" count="441" uniqueCount="134">
  <si>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</si>
  <si>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</si>
  <si>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</si>
  <si>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</si>
  <si>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</si>
  <si>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</si>
  <si>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</si>
  <si>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NDQB201605926</t>
  </si>
  <si>
    <t>Weight (mg):</t>
  </si>
  <si>
    <t>Sulfamethoxazole BP &amp; Trimethoprim BP</t>
  </si>
  <si>
    <t>Standard Conc (mg/mL):</t>
  </si>
  <si>
    <t xml:space="preserve">Each tablet contains: Sulphamethoxazole B.P. 800 mg and Trimethoprim B.P. 160 mg.
</t>
  </si>
  <si>
    <t>2016-05-13 07:04:57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</si>
  <si>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</si>
  <si>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</si>
  <si>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</si>
  <si>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</si>
  <si>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</si>
  <si>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</si>
  <si>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</si>
  <si>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</si>
  <si>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</si>
  <si>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</si>
  <si>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</si>
  <si>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</si>
  <si>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</si>
  <si>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</si>
  <si>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</si>
  <si>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</si>
  <si>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</si>
  <si>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</si>
  <si>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</si>
  <si>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</si>
  <si>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</si>
  <si>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</si>
  <si>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</si>
  <si>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</si>
  <si>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</si>
  <si>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</si>
  <si>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</si>
  <si>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</si>
  <si>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</si>
  <si>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</si>
  <si>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</si>
  <si>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</si>
  <si>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</si>
  <si>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</si>
  <si>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</si>
  <si>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</si>
  <si>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</si>
  <si>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</si>
  <si>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</si>
  <si>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</si>
  <si>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</si>
  <si>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</si>
  <si>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</si>
  <si>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</si>
  <si>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</si>
  <si>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</si>
  <si>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</si>
  <si>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</si>
  <si>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</si>
  <si>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</si>
  <si>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</si>
  <si>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</si>
  <si>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</si>
  <si>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</si>
  <si>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</si>
  <si>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</si>
  <si>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</si>
  <si>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</si>
  <si>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</si>
  <si>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</si>
  <si>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</si>
  <si>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</si>
  <si>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</si>
  <si>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</si>
  <si>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</si>
  <si>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</si>
  <si>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</si>
  <si>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</si>
  <si>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</si>
  <si>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</si>
  <si>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</si>
  <si>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</si>
  <si>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</si>
  <si>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</si>
  <si>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</si>
  <si>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</si>
  <si>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</si>
  <si>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</si>
  <si>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</si>
  <si>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</si>
  <si>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</si>
  <si>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</si>
  <si>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</si>
  <si>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</si>
  <si>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</si>
  <si>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</si>
  <si>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</si>
  <si>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</si>
  <si>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</si>
  <si>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</si>
  <si>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</si>
  <si>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</si>
  <si>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</si>
  <si>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</si>
  <si>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</si>
  <si>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</si>
  <si>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</si>
  <si>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</si>
  <si>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</si>
  <si>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</si>
  <si>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</si>
  <si>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</si>
  <si>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</si>
  <si>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</si>
  <si>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</si>
  <si>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</si>
  <si>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</si>
  <si>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</si>
  <si>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</si>
  <si>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</si>
  <si>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</si>
  <si>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</si>
  <si>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</si>
  <si>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S12 2</t>
  </si>
  <si>
    <t>Trimethoprim</t>
  </si>
  <si>
    <t>T7 2</t>
  </si>
  <si>
    <t xml:space="preserve">Sulfamethoxazole BP </t>
  </si>
  <si>
    <t>Trimethoprim BP</t>
  </si>
  <si>
    <t>Same as Assay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</si>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</sst>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5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0" fontId="5" fillId="5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2" fontId="5" fillId="4" borderId="26" xfId="0" applyNumberFormat="1" applyFont="1" applyFill="1" applyBorder="1" applyAlignment="1">
      <alignment horizontal="center"/>
    </xf>
    <xf numFmtId="2" fontId="5" fillId="4" borderId="59" xfId="0" applyNumberFormat="1" applyFont="1" applyFill="1" applyBorder="1" applyAlignment="1">
      <alignment horizontal="center"/>
    </xf>
    <xf numFmtId="2" fontId="5" fillId="4" borderId="60" xfId="0" applyNumberFormat="1" applyFont="1" applyFill="1" applyBorder="1" applyAlignment="1">
      <alignment horizontal="center"/>
    </xf>
    <xf numFmtId="165" fontId="5" fillId="2" borderId="61" xfId="0" applyNumberFormat="1" applyFont="1" applyFill="1" applyBorder="1" applyAlignment="1">
      <alignment horizontal="center"/>
    </xf>
    <xf numFmtId="165" fontId="5" fillId="2" borderId="62" xfId="0" applyNumberFormat="1" applyFont="1" applyFill="1" applyBorder="1" applyAlignment="1">
      <alignment horizontal="center"/>
    </xf>
    <xf numFmtId="0" fontId="6" fillId="2" borderId="62" xfId="0" applyFont="1" applyFill="1" applyBorder="1"/>
    <xf numFmtId="0" fontId="6" fillId="2" borderId="63" xfId="0" applyFont="1" applyFill="1" applyBorder="1"/>
    <xf numFmtId="0" fontId="5" fillId="2" borderId="64" xfId="0" applyFont="1" applyFill="1" applyBorder="1" applyAlignment="1">
      <alignment horizontal="center"/>
    </xf>
    <xf numFmtId="0" fontId="6" fillId="2" borderId="65" xfId="0" applyFont="1" applyFill="1" applyBorder="1"/>
    <xf numFmtId="0" fontId="6" fillId="2" borderId="66" xfId="0" applyFont="1" applyFill="1" applyBorder="1"/>
    <xf numFmtId="173" fontId="7" fillId="3" borderId="4" xfId="0" applyNumberFormat="1" applyFont="1" applyFill="1" applyBorder="1" applyAlignment="1" applyProtection="1">
      <alignment horizontal="center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B28" sqref="B28"/>
    </sheetView>
  </sheetViews>
  <sheetFormatPr defaultColWidth="9.109375" defaultRowHeight="13.8" x14ac:dyDescent="0.3"/>
  <cols>
    <col min="1" max="1" width="27.5546875" style="405" customWidth="1"/>
    <col min="2" max="2" width="20.44140625" style="405" customWidth="1"/>
    <col min="3" max="3" width="31.88671875" style="405" customWidth="1"/>
    <col min="4" max="4" width="25.88671875" style="405" customWidth="1"/>
    <col min="5" max="5" width="25.6640625" style="405" customWidth="1"/>
    <col min="6" max="6" width="23.109375" style="405" customWidth="1"/>
    <col min="7" max="7" width="28.44140625" style="405" customWidth="1"/>
    <col min="8" max="8" width="21.5546875" style="405" customWidth="1"/>
    <col min="9" max="9" width="9.109375" style="405" customWidth="1"/>
    <col min="10" max="16384" width="9.109375" style="43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510" t="s">
        <v>127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99.58</v>
      </c>
      <c r="C19" s="71"/>
      <c r="D19" s="71"/>
      <c r="E19" s="71"/>
    </row>
    <row r="20" spans="1:5" ht="16.5" customHeight="1" x14ac:dyDescent="0.3">
      <c r="A20" s="8" t="s">
        <v>8</v>
      </c>
      <c r="B20" s="12">
        <f>Trimethoprim!D43</f>
        <v>17.14</v>
      </c>
      <c r="C20" s="71"/>
      <c r="D20" s="71"/>
      <c r="E20" s="71"/>
    </row>
    <row r="21" spans="1:5" ht="16.5" customHeight="1" x14ac:dyDescent="0.3">
      <c r="A21" s="8" t="s">
        <v>10</v>
      </c>
      <c r="B21" s="13">
        <f>B20/20*4/100</f>
        <v>3.4279999999999998E-2</v>
      </c>
      <c r="C21" s="71"/>
      <c r="D21" s="71"/>
      <c r="E21" s="71"/>
    </row>
    <row r="22" spans="1:5" ht="15.75" customHeight="1" x14ac:dyDescent="0.3">
      <c r="A22" s="71"/>
      <c r="B22" s="71"/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5905625</v>
      </c>
      <c r="C24" s="18">
        <v>5617.8</v>
      </c>
      <c r="D24" s="19">
        <v>1.1000000000000001</v>
      </c>
      <c r="E24" s="20">
        <v>2.7</v>
      </c>
    </row>
    <row r="25" spans="1:5" ht="16.5" customHeight="1" x14ac:dyDescent="0.3">
      <c r="A25" s="17">
        <v>2</v>
      </c>
      <c r="B25" s="18">
        <v>5908266</v>
      </c>
      <c r="C25" s="18">
        <v>5583.4</v>
      </c>
      <c r="D25" s="19">
        <v>1.1000000000000001</v>
      </c>
      <c r="E25" s="19">
        <v>2.7</v>
      </c>
    </row>
    <row r="26" spans="1:5" ht="16.5" customHeight="1" x14ac:dyDescent="0.3">
      <c r="A26" s="17">
        <v>3</v>
      </c>
      <c r="B26" s="18">
        <v>5906735</v>
      </c>
      <c r="C26" s="18">
        <v>5562.3</v>
      </c>
      <c r="D26" s="19">
        <v>1.1000000000000001</v>
      </c>
      <c r="E26" s="19">
        <v>2.7</v>
      </c>
    </row>
    <row r="27" spans="1:5" ht="16.5" customHeight="1" x14ac:dyDescent="0.3">
      <c r="A27" s="17">
        <v>4</v>
      </c>
      <c r="B27" s="18">
        <v>5890173</v>
      </c>
      <c r="C27" s="18">
        <v>5551.8</v>
      </c>
      <c r="D27" s="19">
        <v>1.1000000000000001</v>
      </c>
      <c r="E27" s="19">
        <v>2.7</v>
      </c>
    </row>
    <row r="28" spans="1:5" ht="16.5" customHeight="1" x14ac:dyDescent="0.3">
      <c r="A28" s="17">
        <v>5</v>
      </c>
      <c r="B28" s="18">
        <v>5901464</v>
      </c>
      <c r="C28" s="18">
        <v>5545.3</v>
      </c>
      <c r="D28" s="19">
        <v>1.1000000000000001</v>
      </c>
      <c r="E28" s="19">
        <v>2.7</v>
      </c>
    </row>
    <row r="29" spans="1:5" ht="16.5" customHeight="1" x14ac:dyDescent="0.3">
      <c r="A29" s="17">
        <v>6</v>
      </c>
      <c r="B29" s="21">
        <v>5901180</v>
      </c>
      <c r="C29" s="21">
        <v>5537.5</v>
      </c>
      <c r="D29" s="22">
        <v>1.1000000000000001</v>
      </c>
      <c r="E29" s="22">
        <v>2.7</v>
      </c>
    </row>
    <row r="30" spans="1:5" ht="16.5" customHeight="1" x14ac:dyDescent="0.3">
      <c r="A30" s="23" t="s">
        <v>18</v>
      </c>
      <c r="B30" s="24">
        <f>AVERAGE(B24:B29)</f>
        <v>5902240.5</v>
      </c>
      <c r="C30" s="25">
        <f>AVERAGE(C24:C29)</f>
        <v>5566.3499999999995</v>
      </c>
      <c r="D30" s="26">
        <f>AVERAGE(D24:D29)</f>
        <v>1.0999999999999999</v>
      </c>
      <c r="E30" s="26">
        <f>AVERAGE(E24:E29)</f>
        <v>2.6999999999999997</v>
      </c>
    </row>
    <row r="31" spans="1:5" ht="16.5" customHeight="1" x14ac:dyDescent="0.3">
      <c r="A31" s="27" t="s">
        <v>19</v>
      </c>
      <c r="B31" s="28">
        <f>(STDEV(B24:B29)/B30)</f>
        <v>1.1118198453760712E-3</v>
      </c>
      <c r="C31" s="29"/>
      <c r="D31" s="29"/>
      <c r="E31" s="30"/>
    </row>
    <row r="32" spans="1:5" s="405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4"/>
    </row>
    <row r="33" spans="1:5" s="405" customFormat="1" ht="15.75" customHeight="1" x14ac:dyDescent="0.3">
      <c r="A33" s="71"/>
      <c r="B33" s="71"/>
      <c r="C33" s="71"/>
      <c r="D33" s="71"/>
      <c r="E33" s="71"/>
    </row>
    <row r="34" spans="1:5" s="405" customFormat="1" ht="16.5" customHeight="1" x14ac:dyDescent="0.3">
      <c r="A34" s="74" t="s">
        <v>21</v>
      </c>
      <c r="B34" s="39" t="s">
        <v>22</v>
      </c>
      <c r="C34" s="38"/>
      <c r="D34" s="38"/>
      <c r="E34" s="38"/>
    </row>
    <row r="35" spans="1:5" ht="16.5" customHeight="1" x14ac:dyDescent="0.3">
      <c r="A35" s="74"/>
      <c r="B35" s="39" t="s">
        <v>23</v>
      </c>
      <c r="C35" s="38"/>
      <c r="D35" s="38"/>
      <c r="E35" s="38"/>
    </row>
    <row r="36" spans="1:5" ht="16.5" customHeight="1" x14ac:dyDescent="0.3">
      <c r="A36" s="74"/>
      <c r="B36" s="39" t="s">
        <v>24</v>
      </c>
      <c r="C36" s="38"/>
      <c r="D36" s="38"/>
      <c r="E36" s="38"/>
    </row>
    <row r="37" spans="1:5" ht="15.75" customHeight="1" x14ac:dyDescent="0.3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511" t="s">
        <v>131</v>
      </c>
      <c r="C39" s="71"/>
      <c r="D39" s="71"/>
      <c r="E39" s="71"/>
    </row>
    <row r="40" spans="1:5" ht="16.5" customHeight="1" x14ac:dyDescent="0.3">
      <c r="A40" s="74" t="s">
        <v>6</v>
      </c>
      <c r="B40" s="511"/>
      <c r="C40" s="71"/>
      <c r="D40" s="71"/>
      <c r="E40" s="71"/>
    </row>
    <row r="41" spans="1:5" ht="16.5" customHeight="1" x14ac:dyDescent="0.3">
      <c r="A41" s="8" t="s">
        <v>8</v>
      </c>
      <c r="B41" s="511"/>
      <c r="C41" s="71"/>
      <c r="D41" s="71"/>
      <c r="E41" s="71"/>
    </row>
    <row r="42" spans="1:5" ht="16.5" customHeight="1" x14ac:dyDescent="0.3">
      <c r="A42" s="8" t="s">
        <v>10</v>
      </c>
      <c r="B42" s="511"/>
      <c r="C42" s="71"/>
      <c r="D42" s="71"/>
      <c r="E42" s="71"/>
    </row>
    <row r="43" spans="1:5" ht="15.75" customHeight="1" x14ac:dyDescent="0.3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5905625</v>
      </c>
      <c r="C45" s="18">
        <v>5617.8</v>
      </c>
      <c r="D45" s="19">
        <v>1.1000000000000001</v>
      </c>
      <c r="E45" s="20">
        <v>2.7</v>
      </c>
    </row>
    <row r="46" spans="1:5" ht="16.5" customHeight="1" x14ac:dyDescent="0.3">
      <c r="A46" s="17">
        <v>2</v>
      </c>
      <c r="B46" s="18">
        <v>5908266</v>
      </c>
      <c r="C46" s="18">
        <v>5583.4</v>
      </c>
      <c r="D46" s="19">
        <v>1.1000000000000001</v>
      </c>
      <c r="E46" s="19">
        <v>2.7</v>
      </c>
    </row>
    <row r="47" spans="1:5" ht="16.5" customHeight="1" x14ac:dyDescent="0.3">
      <c r="A47" s="17">
        <v>3</v>
      </c>
      <c r="B47" s="18">
        <v>5906735</v>
      </c>
      <c r="C47" s="18">
        <v>5562.3</v>
      </c>
      <c r="D47" s="19">
        <v>1.1000000000000001</v>
      </c>
      <c r="E47" s="19">
        <v>2.7</v>
      </c>
    </row>
    <row r="48" spans="1:5" ht="16.5" customHeight="1" x14ac:dyDescent="0.3">
      <c r="A48" s="17">
        <v>4</v>
      </c>
      <c r="B48" s="18">
        <v>5890173</v>
      </c>
      <c r="C48" s="18">
        <v>5551.8</v>
      </c>
      <c r="D48" s="19">
        <v>1.1000000000000001</v>
      </c>
      <c r="E48" s="19">
        <v>2.7</v>
      </c>
    </row>
    <row r="49" spans="1:7" ht="16.5" customHeight="1" x14ac:dyDescent="0.3">
      <c r="A49" s="17">
        <v>5</v>
      </c>
      <c r="B49" s="18">
        <v>5901464</v>
      </c>
      <c r="C49" s="18">
        <v>5545.3</v>
      </c>
      <c r="D49" s="19">
        <v>1.1000000000000001</v>
      </c>
      <c r="E49" s="19">
        <v>2.7</v>
      </c>
    </row>
    <row r="50" spans="1:7" ht="16.5" customHeight="1" x14ac:dyDescent="0.3">
      <c r="A50" s="17">
        <v>6</v>
      </c>
      <c r="B50" s="21">
        <v>5901180</v>
      </c>
      <c r="C50" s="21">
        <v>5537.5</v>
      </c>
      <c r="D50" s="22">
        <v>1.1000000000000001</v>
      </c>
      <c r="E50" s="22">
        <v>2.7</v>
      </c>
    </row>
    <row r="51" spans="1:7" ht="16.5" customHeight="1" x14ac:dyDescent="0.3">
      <c r="A51" s="23" t="s">
        <v>18</v>
      </c>
      <c r="B51" s="24">
        <f>AVERAGE(B45:B50)</f>
        <v>5902240.5</v>
      </c>
      <c r="C51" s="25">
        <f>AVERAGE(C45:C50)</f>
        <v>5566.3499999999995</v>
      </c>
      <c r="D51" s="26">
        <f>AVERAGE(D45:D50)</f>
        <v>1.0999999999999999</v>
      </c>
      <c r="E51" s="26">
        <f>AVERAGE(E45:E50)</f>
        <v>2.6999999999999997</v>
      </c>
    </row>
    <row r="52" spans="1:7" ht="16.5" customHeight="1" x14ac:dyDescent="0.3">
      <c r="A52" s="27" t="s">
        <v>19</v>
      </c>
      <c r="B52" s="28">
        <f>(STDEV(B45:B50)/B51)</f>
        <v>1.1118198453760712E-3</v>
      </c>
      <c r="C52" s="29"/>
      <c r="D52" s="29"/>
      <c r="E52" s="30"/>
    </row>
    <row r="53" spans="1:7" s="405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4"/>
    </row>
    <row r="54" spans="1:7" s="405" customFormat="1" ht="15.75" customHeight="1" x14ac:dyDescent="0.3">
      <c r="A54" s="71"/>
      <c r="B54" s="71"/>
      <c r="C54" s="71"/>
      <c r="D54" s="71"/>
      <c r="E54" s="71"/>
    </row>
    <row r="55" spans="1:7" s="405" customFormat="1" ht="16.5" customHeight="1" x14ac:dyDescent="0.3">
      <c r="A55" s="74" t="s">
        <v>21</v>
      </c>
      <c r="B55" s="39" t="s">
        <v>22</v>
      </c>
      <c r="C55" s="38"/>
      <c r="D55" s="38"/>
      <c r="E55" s="38"/>
    </row>
    <row r="56" spans="1:7" ht="16.5" customHeight="1" x14ac:dyDescent="0.3">
      <c r="A56" s="74"/>
      <c r="B56" s="39" t="s">
        <v>23</v>
      </c>
      <c r="C56" s="38"/>
      <c r="D56" s="38"/>
      <c r="E56" s="38"/>
    </row>
    <row r="57" spans="1:7" ht="16.5" customHeight="1" x14ac:dyDescent="0.3">
      <c r="A57" s="74"/>
      <c r="B57" s="39" t="s">
        <v>24</v>
      </c>
      <c r="C57" s="38"/>
      <c r="D57" s="38"/>
      <c r="E57" s="38"/>
    </row>
    <row r="58" spans="1:7" ht="14.25" customHeight="1" thickBot="1" x14ac:dyDescent="0.35">
      <c r="A58" s="40"/>
      <c r="B58" s="329"/>
      <c r="D58" s="42"/>
      <c r="F58" s="43"/>
      <c r="G58" s="43"/>
    </row>
    <row r="59" spans="1:7" ht="15" customHeight="1" x14ac:dyDescent="0.3">
      <c r="B59" s="462" t="s">
        <v>26</v>
      </c>
      <c r="C59" s="462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/>
      <c r="C60" s="48"/>
      <c r="E60" s="48"/>
      <c r="G60" s="48"/>
    </row>
    <row r="61" spans="1:7" ht="15" customHeight="1" x14ac:dyDescent="0.3">
      <c r="A61" s="46" t="s">
        <v>30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39:B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4"/>
  <sheetViews>
    <sheetView topLeftCell="A36" workbookViewId="0">
      <selection activeCell="F29" sqref="F2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59" t="s">
        <v>125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99.66</v>
      </c>
      <c r="C19" s="10"/>
      <c r="D19" s="10"/>
      <c r="E19" s="10"/>
    </row>
    <row r="20" spans="1:6" ht="16.5" customHeight="1" x14ac:dyDescent="0.3">
      <c r="A20" s="7" t="s">
        <v>8</v>
      </c>
      <c r="B20" s="12">
        <f>Sulphamethoxazole!D43</f>
        <v>14.91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0.14910000000000001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132</v>
      </c>
    </row>
    <row r="24" spans="1:6" ht="16.5" customHeight="1" x14ac:dyDescent="0.3">
      <c r="A24" s="17">
        <v>1</v>
      </c>
      <c r="B24" s="18">
        <v>69569524</v>
      </c>
      <c r="C24" s="526">
        <v>7042.2</v>
      </c>
      <c r="D24" s="19">
        <v>0.9</v>
      </c>
      <c r="E24" s="20">
        <v>4.9000000000000004</v>
      </c>
      <c r="F24" s="525">
        <v>11.9</v>
      </c>
    </row>
    <row r="25" spans="1:6" ht="16.5" customHeight="1" x14ac:dyDescent="0.3">
      <c r="A25" s="17">
        <v>2</v>
      </c>
      <c r="B25" s="18">
        <v>69624354</v>
      </c>
      <c r="C25" s="526">
        <v>7034</v>
      </c>
      <c r="D25" s="19">
        <v>0.9</v>
      </c>
      <c r="E25" s="19">
        <v>4.9000000000000004</v>
      </c>
      <c r="F25" s="526">
        <v>11.9</v>
      </c>
    </row>
    <row r="26" spans="1:6" ht="16.5" customHeight="1" x14ac:dyDescent="0.3">
      <c r="A26" s="17">
        <v>3</v>
      </c>
      <c r="B26" s="18">
        <v>69636728</v>
      </c>
      <c r="C26" s="526">
        <v>6958.8</v>
      </c>
      <c r="D26" s="19">
        <v>0.9</v>
      </c>
      <c r="E26" s="19">
        <v>4.9000000000000004</v>
      </c>
      <c r="F26" s="526">
        <v>11.8</v>
      </c>
    </row>
    <row r="27" spans="1:6" ht="16.5" customHeight="1" x14ac:dyDescent="0.3">
      <c r="A27" s="17">
        <v>4</v>
      </c>
      <c r="B27" s="18">
        <v>69494888</v>
      </c>
      <c r="C27" s="526">
        <v>6932.7</v>
      </c>
      <c r="D27" s="19">
        <v>0.9</v>
      </c>
      <c r="E27" s="19">
        <v>4.9000000000000004</v>
      </c>
      <c r="F27" s="526">
        <v>11.8</v>
      </c>
    </row>
    <row r="28" spans="1:6" ht="16.5" customHeight="1" x14ac:dyDescent="0.3">
      <c r="A28" s="17">
        <v>5</v>
      </c>
      <c r="B28" s="18">
        <v>69643567</v>
      </c>
      <c r="C28" s="526">
        <v>6929</v>
      </c>
      <c r="D28" s="19">
        <v>0.9</v>
      </c>
      <c r="E28" s="19">
        <v>4.9000000000000004</v>
      </c>
      <c r="F28" s="526">
        <v>11.8</v>
      </c>
    </row>
    <row r="29" spans="1:6" ht="16.5" customHeight="1" x14ac:dyDescent="0.3">
      <c r="A29" s="17">
        <v>6</v>
      </c>
      <c r="B29" s="21">
        <v>69669073</v>
      </c>
      <c r="C29" s="527">
        <v>6916.5</v>
      </c>
      <c r="D29" s="22">
        <v>0.9</v>
      </c>
      <c r="E29" s="19">
        <v>4.9000000000000004</v>
      </c>
      <c r="F29" s="526">
        <v>11.8</v>
      </c>
    </row>
    <row r="30" spans="1:6" ht="16.5" customHeight="1" x14ac:dyDescent="0.3">
      <c r="A30" s="23" t="s">
        <v>18</v>
      </c>
      <c r="B30" s="24">
        <f>AVERAGE(B24:B29)</f>
        <v>69606355.666666672</v>
      </c>
      <c r="C30" s="514">
        <f>AVERAGE(C24:C29)</f>
        <v>6968.8666666666659</v>
      </c>
      <c r="D30" s="515">
        <f>AVERAGE(D24:D29)</f>
        <v>0.9</v>
      </c>
      <c r="E30" s="516">
        <f>AVERAGE(E24:E29)</f>
        <v>4.8999999999999995</v>
      </c>
      <c r="F30" s="517">
        <f>AVERAGE(F24:F29)</f>
        <v>11.833333333333334</v>
      </c>
    </row>
    <row r="31" spans="1:6" ht="16.5" customHeight="1" x14ac:dyDescent="0.3">
      <c r="A31" s="27" t="s">
        <v>19</v>
      </c>
      <c r="B31" s="512">
        <f>(STDEV(B24:B29)/B30)</f>
        <v>9.1644735892053037E-4</v>
      </c>
      <c r="C31" s="518"/>
      <c r="D31" s="519"/>
      <c r="E31" s="520"/>
      <c r="F31" s="521"/>
    </row>
    <row r="32" spans="1:6" s="2" customFormat="1" ht="16.5" customHeight="1" x14ac:dyDescent="0.3">
      <c r="A32" s="31" t="s">
        <v>20</v>
      </c>
      <c r="B32" s="513">
        <f>COUNT(B24:B29)</f>
        <v>6</v>
      </c>
      <c r="C32" s="522"/>
      <c r="D32" s="523"/>
      <c r="E32" s="523"/>
      <c r="F32" s="524"/>
    </row>
    <row r="33" spans="1:9" s="2" customFormat="1" ht="15.75" customHeight="1" x14ac:dyDescent="0.3">
      <c r="A33" s="10"/>
      <c r="B33" s="10"/>
      <c r="C33" s="10"/>
      <c r="D33" s="10"/>
      <c r="E33" s="35"/>
    </row>
    <row r="34" spans="1:9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9" ht="16.5" customHeight="1" x14ac:dyDescent="0.3">
      <c r="A35" s="11"/>
      <c r="B35" s="36" t="s">
        <v>23</v>
      </c>
      <c r="C35" s="37"/>
      <c r="D35" s="37"/>
      <c r="E35" s="38"/>
      <c r="F35" s="2"/>
    </row>
    <row r="36" spans="1:9" ht="16.5" customHeight="1" x14ac:dyDescent="0.3">
      <c r="A36" s="11"/>
      <c r="B36" s="39" t="s">
        <v>24</v>
      </c>
      <c r="C36" s="37"/>
      <c r="D36" s="37"/>
      <c r="E36" s="37"/>
    </row>
    <row r="37" spans="1:9" ht="15.75" customHeight="1" x14ac:dyDescent="0.3">
      <c r="A37" s="10"/>
      <c r="B37" s="10" t="s">
        <v>133</v>
      </c>
      <c r="C37" s="10"/>
      <c r="D37" s="10"/>
      <c r="E37" s="10"/>
    </row>
    <row r="38" spans="1:9" s="43" customFormat="1" ht="15.75" customHeight="1" x14ac:dyDescent="0.3">
      <c r="A38" s="71"/>
      <c r="B38" s="71"/>
      <c r="C38" s="71"/>
      <c r="D38" s="71"/>
      <c r="E38" s="71"/>
      <c r="F38" s="405"/>
      <c r="G38" s="405"/>
      <c r="H38" s="405"/>
      <c r="I38" s="405"/>
    </row>
    <row r="39" spans="1:9" ht="16.5" customHeight="1" x14ac:dyDescent="0.3">
      <c r="A39" s="5" t="s">
        <v>1</v>
      </c>
      <c r="B39" s="460" t="s">
        <v>25</v>
      </c>
    </row>
    <row r="40" spans="1:9" ht="16.5" customHeight="1" x14ac:dyDescent="0.3">
      <c r="A40" s="11" t="s">
        <v>4</v>
      </c>
      <c r="B40" s="511" t="s">
        <v>131</v>
      </c>
      <c r="C40" s="10"/>
      <c r="D40" s="10"/>
      <c r="E40" s="10"/>
    </row>
    <row r="41" spans="1:9" ht="16.5" customHeight="1" x14ac:dyDescent="0.3">
      <c r="A41" s="11" t="s">
        <v>6</v>
      </c>
      <c r="B41" s="511"/>
      <c r="C41" s="10"/>
      <c r="D41" s="10"/>
      <c r="E41" s="10"/>
    </row>
    <row r="42" spans="1:9" ht="16.5" customHeight="1" x14ac:dyDescent="0.3">
      <c r="A42" s="7" t="s">
        <v>8</v>
      </c>
      <c r="B42" s="511"/>
      <c r="C42" s="10"/>
      <c r="D42" s="10"/>
      <c r="E42" s="10"/>
    </row>
    <row r="43" spans="1:9" ht="16.5" customHeight="1" x14ac:dyDescent="0.3">
      <c r="A43" s="7" t="s">
        <v>10</v>
      </c>
      <c r="B43" s="511"/>
      <c r="C43" s="10"/>
      <c r="D43" s="10"/>
      <c r="E43" s="10"/>
    </row>
    <row r="44" spans="1:9" ht="15.75" customHeight="1" x14ac:dyDescent="0.3">
      <c r="A44" s="10"/>
      <c r="B44" s="10"/>
      <c r="C44" s="10"/>
      <c r="D44" s="10"/>
      <c r="E44" s="10"/>
    </row>
    <row r="45" spans="1:9" ht="16.5" customHeight="1" x14ac:dyDescent="0.3">
      <c r="A45" s="14" t="s">
        <v>13</v>
      </c>
      <c r="B45" s="15" t="s">
        <v>14</v>
      </c>
      <c r="C45" s="16" t="s">
        <v>15</v>
      </c>
      <c r="D45" s="16" t="s">
        <v>16</v>
      </c>
      <c r="E45" s="16" t="s">
        <v>17</v>
      </c>
      <c r="F45" s="16" t="s">
        <v>132</v>
      </c>
    </row>
    <row r="46" spans="1:9" ht="16.5" customHeight="1" x14ac:dyDescent="0.3">
      <c r="A46" s="17">
        <v>1</v>
      </c>
      <c r="B46" s="18">
        <v>69569524</v>
      </c>
      <c r="C46" s="526">
        <v>7042.2</v>
      </c>
      <c r="D46" s="19">
        <v>0.9</v>
      </c>
      <c r="E46" s="20">
        <v>4.9000000000000004</v>
      </c>
      <c r="F46" s="525">
        <v>11.9</v>
      </c>
    </row>
    <row r="47" spans="1:9" ht="16.5" customHeight="1" x14ac:dyDescent="0.3">
      <c r="A47" s="17">
        <v>2</v>
      </c>
      <c r="B47" s="18">
        <v>69624354</v>
      </c>
      <c r="C47" s="526">
        <v>7034</v>
      </c>
      <c r="D47" s="19">
        <v>0.9</v>
      </c>
      <c r="E47" s="19">
        <v>4.9000000000000004</v>
      </c>
      <c r="F47" s="526">
        <v>11.9</v>
      </c>
    </row>
    <row r="48" spans="1:9" ht="16.5" customHeight="1" x14ac:dyDescent="0.3">
      <c r="A48" s="17">
        <v>3</v>
      </c>
      <c r="B48" s="18">
        <v>69636728</v>
      </c>
      <c r="C48" s="526">
        <v>6958.8</v>
      </c>
      <c r="D48" s="19">
        <v>0.9</v>
      </c>
      <c r="E48" s="19">
        <v>4.9000000000000004</v>
      </c>
      <c r="F48" s="526">
        <v>11.8</v>
      </c>
    </row>
    <row r="49" spans="1:9" ht="16.5" customHeight="1" x14ac:dyDescent="0.3">
      <c r="A49" s="17">
        <v>4</v>
      </c>
      <c r="B49" s="18">
        <v>69494888</v>
      </c>
      <c r="C49" s="526">
        <v>6932.7</v>
      </c>
      <c r="D49" s="19">
        <v>0.9</v>
      </c>
      <c r="E49" s="19">
        <v>4.9000000000000004</v>
      </c>
      <c r="F49" s="526">
        <v>11.8</v>
      </c>
    </row>
    <row r="50" spans="1:9" ht="16.5" customHeight="1" x14ac:dyDescent="0.3">
      <c r="A50" s="17">
        <v>5</v>
      </c>
      <c r="B50" s="18">
        <v>69643567</v>
      </c>
      <c r="C50" s="526">
        <v>6929</v>
      </c>
      <c r="D50" s="19">
        <v>0.9</v>
      </c>
      <c r="E50" s="19">
        <v>4.9000000000000004</v>
      </c>
      <c r="F50" s="526">
        <v>11.8</v>
      </c>
    </row>
    <row r="51" spans="1:9" ht="16.5" customHeight="1" x14ac:dyDescent="0.3">
      <c r="A51" s="17">
        <v>6</v>
      </c>
      <c r="B51" s="21">
        <v>69669073</v>
      </c>
      <c r="C51" s="527">
        <v>6916.5</v>
      </c>
      <c r="D51" s="22">
        <v>0.9</v>
      </c>
      <c r="E51" s="19">
        <v>4.9000000000000004</v>
      </c>
      <c r="F51" s="526">
        <v>11.8</v>
      </c>
    </row>
    <row r="52" spans="1:9" ht="16.5" customHeight="1" x14ac:dyDescent="0.3">
      <c r="A52" s="23" t="s">
        <v>18</v>
      </c>
      <c r="B52" s="24">
        <f>AVERAGE(B46:B51)</f>
        <v>69606355.666666672</v>
      </c>
      <c r="C52" s="514">
        <f>AVERAGE(C46:C51)</f>
        <v>6968.8666666666659</v>
      </c>
      <c r="D52" s="515">
        <f>AVERAGE(D46:D51)</f>
        <v>0.9</v>
      </c>
      <c r="E52" s="516">
        <f>AVERAGE(E46:E51)</f>
        <v>4.8999999999999995</v>
      </c>
      <c r="F52" s="517">
        <f>AVERAGE(F46:F51)</f>
        <v>11.833333333333334</v>
      </c>
    </row>
    <row r="53" spans="1:9" ht="16.5" customHeight="1" x14ac:dyDescent="0.3">
      <c r="A53" s="27" t="s">
        <v>19</v>
      </c>
      <c r="B53" s="512">
        <f>(STDEV(B46:B51)/B52)</f>
        <v>9.1644735892053037E-4</v>
      </c>
      <c r="C53" s="518"/>
      <c r="D53" s="519"/>
      <c r="E53" s="520"/>
      <c r="F53" s="521"/>
    </row>
    <row r="54" spans="1:9" s="2" customFormat="1" ht="16.5" customHeight="1" x14ac:dyDescent="0.3">
      <c r="A54" s="31" t="s">
        <v>20</v>
      </c>
      <c r="B54" s="513">
        <f>COUNT(B46:B51)</f>
        <v>6</v>
      </c>
      <c r="C54" s="522"/>
      <c r="D54" s="523"/>
      <c r="E54" s="523"/>
      <c r="F54" s="524"/>
    </row>
    <row r="55" spans="1:9" s="2" customFormat="1" ht="15.75" customHeight="1" x14ac:dyDescent="0.3">
      <c r="A55" s="10"/>
      <c r="B55" s="10"/>
      <c r="C55" s="10"/>
      <c r="D55" s="10"/>
      <c r="E55" s="35"/>
    </row>
    <row r="56" spans="1:9" s="2" customFormat="1" ht="16.5" customHeight="1" x14ac:dyDescent="0.3">
      <c r="A56" s="11" t="s">
        <v>21</v>
      </c>
      <c r="B56" s="36" t="s">
        <v>22</v>
      </c>
      <c r="C56" s="37"/>
      <c r="D56" s="37"/>
      <c r="E56" s="38"/>
    </row>
    <row r="57" spans="1:9" ht="16.5" customHeight="1" x14ac:dyDescent="0.3">
      <c r="A57" s="11"/>
      <c r="B57" s="36" t="s">
        <v>23</v>
      </c>
      <c r="C57" s="37"/>
      <c r="D57" s="37"/>
      <c r="E57" s="38"/>
      <c r="F57" s="2"/>
    </row>
    <row r="58" spans="1:9" ht="16.5" customHeight="1" x14ac:dyDescent="0.3">
      <c r="A58" s="11"/>
      <c r="B58" s="39" t="s">
        <v>24</v>
      </c>
      <c r="C58" s="37"/>
      <c r="D58" s="38"/>
      <c r="E58" s="37"/>
    </row>
    <row r="59" spans="1:9" s="43" customFormat="1" ht="16.5" customHeight="1" x14ac:dyDescent="0.3">
      <c r="A59" s="74"/>
      <c r="B59" s="39"/>
      <c r="C59" s="38"/>
      <c r="D59" s="38"/>
      <c r="E59" s="38"/>
      <c r="F59" s="405"/>
      <c r="G59" s="405"/>
      <c r="H59" s="405"/>
      <c r="I59" s="405"/>
    </row>
    <row r="60" spans="1:9" s="43" customFormat="1" ht="16.5" customHeight="1" x14ac:dyDescent="0.3">
      <c r="A60" s="74"/>
      <c r="B60" s="39"/>
      <c r="C60" s="38"/>
      <c r="D60" s="38"/>
      <c r="E60" s="38"/>
      <c r="F60" s="405"/>
      <c r="G60" s="405"/>
      <c r="H60" s="405"/>
      <c r="I60" s="405"/>
    </row>
    <row r="61" spans="1:9" ht="14.25" customHeight="1" x14ac:dyDescent="0.3">
      <c r="A61" s="40"/>
      <c r="B61" s="41"/>
      <c r="D61" s="42"/>
      <c r="F61" s="43"/>
      <c r="G61" s="43"/>
    </row>
    <row r="62" spans="1:9" ht="15" customHeight="1" x14ac:dyDescent="0.3">
      <c r="B62" s="462" t="s">
        <v>26</v>
      </c>
      <c r="C62" s="462"/>
      <c r="E62" s="44" t="s">
        <v>27</v>
      </c>
      <c r="F62" s="45"/>
      <c r="G62" s="44" t="s">
        <v>28</v>
      </c>
    </row>
    <row r="63" spans="1:9" ht="15" customHeight="1" x14ac:dyDescent="0.3">
      <c r="A63" s="46" t="s">
        <v>29</v>
      </c>
      <c r="B63" s="47"/>
      <c r="C63" s="47"/>
      <c r="E63" s="47"/>
      <c r="F63" s="2"/>
      <c r="G63" s="48"/>
    </row>
    <row r="64" spans="1:9" ht="15" customHeight="1" x14ac:dyDescent="0.3">
      <c r="A64" s="46" t="s">
        <v>30</v>
      </c>
      <c r="B64" s="49"/>
      <c r="C64" s="49"/>
      <c r="E64" s="49"/>
      <c r="F64" s="2"/>
      <c r="G64" s="50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62:C62"/>
    <mergeCell ref="B40:B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66" t="s">
        <v>31</v>
      </c>
      <c r="B11" s="467"/>
      <c r="C11" s="467"/>
      <c r="D11" s="467"/>
      <c r="E11" s="467"/>
      <c r="F11" s="468"/>
      <c r="G11" s="90"/>
    </row>
    <row r="12" spans="1:7" ht="16.5" customHeight="1" x14ac:dyDescent="0.3">
      <c r="A12" s="465" t="s">
        <v>32</v>
      </c>
      <c r="B12" s="465"/>
      <c r="C12" s="465"/>
      <c r="D12" s="465"/>
      <c r="E12" s="465"/>
      <c r="F12" s="465"/>
      <c r="G12" s="89"/>
    </row>
    <row r="14" spans="1:7" ht="16.5" customHeight="1" x14ac:dyDescent="0.3">
      <c r="A14" s="470" t="s">
        <v>33</v>
      </c>
      <c r="B14" s="470"/>
      <c r="C14" s="59" t="s">
        <v>5</v>
      </c>
    </row>
    <row r="15" spans="1:7" ht="16.5" customHeight="1" x14ac:dyDescent="0.3">
      <c r="A15" s="470" t="s">
        <v>34</v>
      </c>
      <c r="B15" s="470"/>
      <c r="C15" s="59" t="s">
        <v>7</v>
      </c>
    </row>
    <row r="16" spans="1:7" ht="16.5" customHeight="1" x14ac:dyDescent="0.3">
      <c r="A16" s="470" t="s">
        <v>35</v>
      </c>
      <c r="B16" s="470"/>
      <c r="C16" s="59" t="s">
        <v>9</v>
      </c>
    </row>
    <row r="17" spans="1:5" ht="16.5" customHeight="1" x14ac:dyDescent="0.3">
      <c r="A17" s="470" t="s">
        <v>36</v>
      </c>
      <c r="B17" s="470"/>
      <c r="C17" s="59" t="s">
        <v>11</v>
      </c>
    </row>
    <row r="18" spans="1:5" ht="16.5" customHeight="1" x14ac:dyDescent="0.3">
      <c r="A18" s="470" t="s">
        <v>37</v>
      </c>
      <c r="B18" s="470"/>
      <c r="C18" s="96" t="s">
        <v>12</v>
      </c>
    </row>
    <row r="19" spans="1:5" ht="16.5" customHeight="1" x14ac:dyDescent="0.3">
      <c r="A19" s="470" t="s">
        <v>38</v>
      </c>
      <c r="B19" s="470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65" t="s">
        <v>1</v>
      </c>
      <c r="B21" s="465"/>
      <c r="C21" s="58" t="s">
        <v>39</v>
      </c>
      <c r="D21" s="65"/>
    </row>
    <row r="22" spans="1:5" ht="15.75" customHeight="1" x14ac:dyDescent="0.3">
      <c r="A22" s="469"/>
      <c r="B22" s="469"/>
      <c r="C22" s="56"/>
      <c r="D22" s="469"/>
      <c r="E22" s="469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1051.24</v>
      </c>
      <c r="D24" s="86">
        <f t="shared" ref="D24:D43" si="0">(C24-$C$46)/$C$46</f>
        <v>9.484200281650047E-3</v>
      </c>
      <c r="E24" s="52"/>
    </row>
    <row r="25" spans="1:5" ht="15.75" customHeight="1" x14ac:dyDescent="0.3">
      <c r="C25" s="94">
        <v>1037.32</v>
      </c>
      <c r="D25" s="87">
        <f t="shared" si="0"/>
        <v>-3.8828900763278095E-3</v>
      </c>
      <c r="E25" s="52"/>
    </row>
    <row r="26" spans="1:5" ht="15.75" customHeight="1" x14ac:dyDescent="0.3">
      <c r="C26" s="94">
        <v>1042.22</v>
      </c>
      <c r="D26" s="87">
        <f t="shared" si="0"/>
        <v>8.2247937439721721E-4</v>
      </c>
      <c r="E26" s="52"/>
    </row>
    <row r="27" spans="1:5" ht="15.75" customHeight="1" x14ac:dyDescent="0.3">
      <c r="C27" s="94">
        <v>1045.8</v>
      </c>
      <c r="D27" s="87">
        <f t="shared" si="0"/>
        <v>4.2602799118655723E-3</v>
      </c>
      <c r="E27" s="52"/>
    </row>
    <row r="28" spans="1:5" ht="15.75" customHeight="1" x14ac:dyDescent="0.3">
      <c r="C28" s="94">
        <v>1041.83</v>
      </c>
      <c r="D28" s="87">
        <f t="shared" si="0"/>
        <v>4.4797037729860551E-4</v>
      </c>
      <c r="E28" s="52"/>
    </row>
    <row r="29" spans="1:5" ht="15.75" customHeight="1" x14ac:dyDescent="0.3">
      <c r="C29" s="94">
        <v>1058.03</v>
      </c>
      <c r="D29" s="87">
        <f t="shared" si="0"/>
        <v>1.6004497949083141E-2</v>
      </c>
      <c r="E29" s="52"/>
    </row>
    <row r="30" spans="1:5" ht="15.75" customHeight="1" x14ac:dyDescent="0.3">
      <c r="C30" s="94">
        <v>1045.33</v>
      </c>
      <c r="D30" s="87">
        <f t="shared" si="0"/>
        <v>3.8089485563878481E-3</v>
      </c>
      <c r="E30" s="52"/>
    </row>
    <row r="31" spans="1:5" ht="15.75" customHeight="1" x14ac:dyDescent="0.3">
      <c r="C31" s="94">
        <v>1072.98</v>
      </c>
      <c r="D31" s="87">
        <f t="shared" si="0"/>
        <v>3.0360676171192948E-2</v>
      </c>
      <c r="E31" s="52"/>
    </row>
    <row r="32" spans="1:5" ht="15.75" customHeight="1" x14ac:dyDescent="0.3">
      <c r="C32" s="94">
        <v>1018.26</v>
      </c>
      <c r="D32" s="87">
        <f t="shared" si="0"/>
        <v>-2.2185816960168032E-2</v>
      </c>
      <c r="E32" s="52"/>
    </row>
    <row r="33" spans="1:7" ht="15.75" customHeight="1" x14ac:dyDescent="0.3">
      <c r="C33" s="94">
        <v>1046.75</v>
      </c>
      <c r="D33" s="87">
        <f t="shared" si="0"/>
        <v>5.1725454176184101E-3</v>
      </c>
      <c r="E33" s="52"/>
    </row>
    <row r="34" spans="1:7" ht="15.75" customHeight="1" x14ac:dyDescent="0.3">
      <c r="C34" s="94">
        <v>1026.54</v>
      </c>
      <c r="D34" s="87">
        <f t="shared" si="0"/>
        <v>-1.4234702867922651E-2</v>
      </c>
      <c r="E34" s="52"/>
    </row>
    <row r="35" spans="1:7" ht="15.75" customHeight="1" x14ac:dyDescent="0.3">
      <c r="C35" s="94">
        <v>1030.97</v>
      </c>
      <c r="D35" s="87">
        <f t="shared" si="0"/>
        <v>-9.9806647726753475E-3</v>
      </c>
      <c r="E35" s="52"/>
    </row>
    <row r="36" spans="1:7" ht="15.75" customHeight="1" x14ac:dyDescent="0.3">
      <c r="C36" s="94">
        <v>1031.8699999999999</v>
      </c>
      <c r="D36" s="87">
        <f t="shared" si="0"/>
        <v>-9.1164132409096727E-3</v>
      </c>
      <c r="E36" s="52"/>
    </row>
    <row r="37" spans="1:7" ht="15.75" customHeight="1" x14ac:dyDescent="0.3">
      <c r="C37" s="94">
        <v>1037.04</v>
      </c>
      <c r="D37" s="87">
        <f t="shared" si="0"/>
        <v>-4.1517683306549228E-3</v>
      </c>
      <c r="E37" s="52"/>
    </row>
    <row r="38" spans="1:7" ht="15.75" customHeight="1" x14ac:dyDescent="0.3">
      <c r="C38" s="94">
        <v>1025.1099999999999</v>
      </c>
      <c r="D38" s="87">
        <f t="shared" si="0"/>
        <v>-1.5607902523950602E-2</v>
      </c>
      <c r="E38" s="52"/>
    </row>
    <row r="39" spans="1:7" ht="15.75" customHeight="1" x14ac:dyDescent="0.3">
      <c r="C39" s="94">
        <v>1031.04</v>
      </c>
      <c r="D39" s="87">
        <f t="shared" si="0"/>
        <v>-9.9134452090936243E-3</v>
      </c>
      <c r="E39" s="52"/>
    </row>
    <row r="40" spans="1:7" ht="15.75" customHeight="1" x14ac:dyDescent="0.3">
      <c r="C40" s="94">
        <v>1037.5999999999999</v>
      </c>
      <c r="D40" s="87">
        <f t="shared" si="0"/>
        <v>-3.6140118220006961E-3</v>
      </c>
      <c r="E40" s="52"/>
    </row>
    <row r="41" spans="1:7" ht="15.75" customHeight="1" x14ac:dyDescent="0.3">
      <c r="C41" s="94">
        <v>1049.48</v>
      </c>
      <c r="D41" s="87">
        <f t="shared" si="0"/>
        <v>7.7941083973080373E-3</v>
      </c>
      <c r="E41" s="52"/>
    </row>
    <row r="42" spans="1:7" ht="15.75" customHeight="1" x14ac:dyDescent="0.3">
      <c r="C42" s="94">
        <v>1047.74</v>
      </c>
      <c r="D42" s="87">
        <f t="shared" si="0"/>
        <v>6.1232221025608047E-3</v>
      </c>
      <c r="E42" s="52"/>
    </row>
    <row r="43" spans="1:7" ht="16.5" customHeight="1" x14ac:dyDescent="0.3">
      <c r="C43" s="95">
        <v>1050.1199999999999</v>
      </c>
      <c r="D43" s="88">
        <f t="shared" si="0"/>
        <v>8.4086872643413767E-3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20827.27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1041.3634999999999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463">
        <f>C46</f>
        <v>1041.3634999999999</v>
      </c>
      <c r="C49" s="92">
        <f>-IF(C46&lt;=80,10%,IF(C46&lt;250,7.5%,5%))</f>
        <v>-0.05</v>
      </c>
      <c r="D49" s="80">
        <f>IF(C46&lt;=80,C46*0.9,IF(C46&lt;250,C46*0.925,C46*0.95))</f>
        <v>989.29532499999993</v>
      </c>
    </row>
    <row r="50" spans="1:6" ht="17.25" customHeight="1" x14ac:dyDescent="0.3">
      <c r="B50" s="464"/>
      <c r="C50" s="93">
        <f>IF(C46&lt;=80, 10%, IF(C46&lt;250, 7.5%, 5%))</f>
        <v>0.05</v>
      </c>
      <c r="D50" s="80">
        <f>IF(C46&lt;=80, C46*1.1, IF(C46&lt;250, C46*1.075, C46*1.05))</f>
        <v>1093.431675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91" zoomScale="80" zoomScaleNormal="80" zoomScalePageLayoutView="55" workbookViewId="0">
      <selection activeCell="D114" sqref="D11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71" t="s">
        <v>45</v>
      </c>
      <c r="B1" s="471"/>
      <c r="C1" s="471"/>
      <c r="D1" s="471"/>
      <c r="E1" s="471"/>
      <c r="F1" s="471"/>
      <c r="G1" s="471"/>
      <c r="H1" s="471"/>
      <c r="I1" s="471"/>
    </row>
    <row r="2" spans="1:9" ht="18.75" customHeight="1" x14ac:dyDescent="0.3">
      <c r="A2" s="471"/>
      <c r="B2" s="471"/>
      <c r="C2" s="471"/>
      <c r="D2" s="471"/>
      <c r="E2" s="471"/>
      <c r="F2" s="471"/>
      <c r="G2" s="471"/>
      <c r="H2" s="471"/>
      <c r="I2" s="471"/>
    </row>
    <row r="3" spans="1:9" ht="18.7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</row>
    <row r="4" spans="1:9" ht="18.75" customHeight="1" x14ac:dyDescent="0.3">
      <c r="A4" s="471"/>
      <c r="B4" s="471"/>
      <c r="C4" s="471"/>
      <c r="D4" s="471"/>
      <c r="E4" s="471"/>
      <c r="F4" s="471"/>
      <c r="G4" s="471"/>
      <c r="H4" s="471"/>
      <c r="I4" s="471"/>
    </row>
    <row r="5" spans="1:9" ht="18.75" customHeight="1" x14ac:dyDescent="0.3">
      <c r="A5" s="471"/>
      <c r="B5" s="471"/>
      <c r="C5" s="471"/>
      <c r="D5" s="471"/>
      <c r="E5" s="471"/>
      <c r="F5" s="471"/>
      <c r="G5" s="471"/>
      <c r="H5" s="471"/>
      <c r="I5" s="471"/>
    </row>
    <row r="6" spans="1:9" ht="18.75" customHeight="1" x14ac:dyDescent="0.3">
      <c r="A6" s="471"/>
      <c r="B6" s="471"/>
      <c r="C6" s="471"/>
      <c r="D6" s="471"/>
      <c r="E6" s="471"/>
      <c r="F6" s="471"/>
      <c r="G6" s="471"/>
      <c r="H6" s="471"/>
      <c r="I6" s="471"/>
    </row>
    <row r="7" spans="1:9" ht="18.75" customHeight="1" x14ac:dyDescent="0.3">
      <c r="A7" s="471"/>
      <c r="B7" s="471"/>
      <c r="C7" s="471"/>
      <c r="D7" s="471"/>
      <c r="E7" s="471"/>
      <c r="F7" s="471"/>
      <c r="G7" s="471"/>
      <c r="H7" s="471"/>
      <c r="I7" s="471"/>
    </row>
    <row r="8" spans="1:9" x14ac:dyDescent="0.3">
      <c r="A8" s="472" t="s">
        <v>46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3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3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3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3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3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3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x14ac:dyDescent="0.35">
      <c r="A15" s="97"/>
    </row>
    <row r="16" spans="1:9" ht="19.5" customHeight="1" x14ac:dyDescent="0.35">
      <c r="A16" s="505" t="s">
        <v>31</v>
      </c>
      <c r="B16" s="506"/>
      <c r="C16" s="506"/>
      <c r="D16" s="506"/>
      <c r="E16" s="506"/>
      <c r="F16" s="506"/>
      <c r="G16" s="506"/>
      <c r="H16" s="507"/>
    </row>
    <row r="17" spans="1:14" ht="20.25" customHeight="1" x14ac:dyDescent="0.3">
      <c r="A17" s="508" t="s">
        <v>47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5">
      <c r="A18" s="99" t="s">
        <v>33</v>
      </c>
      <c r="B18" s="504" t="s">
        <v>5</v>
      </c>
      <c r="C18" s="504"/>
      <c r="D18" s="263"/>
      <c r="E18" s="100"/>
      <c r="F18" s="101"/>
      <c r="G18" s="101"/>
      <c r="H18" s="101"/>
    </row>
    <row r="19" spans="1:14" ht="26.25" customHeight="1" x14ac:dyDescent="0.5">
      <c r="A19" s="99" t="s">
        <v>34</v>
      </c>
      <c r="B19" s="102" t="s">
        <v>7</v>
      </c>
      <c r="C19" s="276">
        <v>29</v>
      </c>
      <c r="D19" s="101"/>
      <c r="E19" s="101"/>
      <c r="F19" s="101"/>
      <c r="G19" s="101"/>
      <c r="H19" s="101"/>
    </row>
    <row r="20" spans="1:14" ht="26.25" customHeight="1" x14ac:dyDescent="0.5">
      <c r="A20" s="99" t="s">
        <v>35</v>
      </c>
      <c r="B20" s="509" t="s">
        <v>130</v>
      </c>
      <c r="C20" s="509"/>
      <c r="D20" s="101"/>
      <c r="E20" s="101"/>
      <c r="F20" s="101"/>
      <c r="G20" s="101"/>
      <c r="H20" s="101"/>
    </row>
    <row r="21" spans="1:14" ht="26.25" customHeight="1" x14ac:dyDescent="0.5">
      <c r="A21" s="99" t="s">
        <v>36</v>
      </c>
      <c r="B21" s="509" t="s">
        <v>11</v>
      </c>
      <c r="C21" s="509"/>
      <c r="D21" s="509"/>
      <c r="E21" s="509"/>
      <c r="F21" s="509"/>
      <c r="G21" s="509"/>
      <c r="H21" s="509"/>
      <c r="I21" s="103"/>
    </row>
    <row r="22" spans="1:14" ht="26.25" customHeight="1" x14ac:dyDescent="0.5">
      <c r="A22" s="99" t="s">
        <v>37</v>
      </c>
      <c r="B22" s="104">
        <v>42524</v>
      </c>
      <c r="C22" s="101"/>
      <c r="D22" s="101"/>
      <c r="E22" s="101"/>
      <c r="F22" s="101"/>
      <c r="G22" s="101"/>
      <c r="H22" s="101"/>
    </row>
    <row r="23" spans="1:14" ht="26.25" customHeight="1" x14ac:dyDescent="0.5">
      <c r="A23" s="99" t="s">
        <v>38</v>
      </c>
      <c r="B23" s="104">
        <v>42538</v>
      </c>
      <c r="C23" s="101"/>
      <c r="D23" s="101"/>
      <c r="E23" s="101"/>
      <c r="F23" s="101"/>
      <c r="G23" s="101"/>
      <c r="H23" s="101"/>
    </row>
    <row r="24" spans="1:14" ht="18" x14ac:dyDescent="0.35">
      <c r="A24" s="99"/>
      <c r="B24" s="105"/>
    </row>
    <row r="25" spans="1:14" ht="18" x14ac:dyDescent="0.35">
      <c r="A25" s="106" t="s">
        <v>1</v>
      </c>
      <c r="B25" s="105"/>
    </row>
    <row r="26" spans="1:14" ht="26.25" customHeight="1" x14ac:dyDescent="0.45">
      <c r="A26" s="107" t="s">
        <v>4</v>
      </c>
      <c r="B26" s="504" t="s">
        <v>127</v>
      </c>
      <c r="C26" s="504"/>
    </row>
    <row r="27" spans="1:14" ht="26.25" customHeight="1" x14ac:dyDescent="0.5">
      <c r="A27" s="108" t="s">
        <v>48</v>
      </c>
      <c r="B27" s="502" t="s">
        <v>128</v>
      </c>
      <c r="C27" s="502"/>
    </row>
    <row r="28" spans="1:14" ht="27" customHeight="1" x14ac:dyDescent="0.45">
      <c r="A28" s="108" t="s">
        <v>6</v>
      </c>
      <c r="B28" s="109">
        <v>99.58</v>
      </c>
    </row>
    <row r="29" spans="1:14" s="14" customFormat="1" ht="27" customHeight="1" x14ac:dyDescent="0.5">
      <c r="A29" s="108" t="s">
        <v>49</v>
      </c>
      <c r="B29" s="110">
        <v>0</v>
      </c>
      <c r="C29" s="479" t="s">
        <v>50</v>
      </c>
      <c r="D29" s="480"/>
      <c r="E29" s="480"/>
      <c r="F29" s="480"/>
      <c r="G29" s="481"/>
      <c r="I29" s="111"/>
      <c r="J29" s="111"/>
      <c r="K29" s="111"/>
      <c r="L29" s="111"/>
    </row>
    <row r="30" spans="1:14" s="14" customFormat="1" ht="19.5" customHeight="1" x14ac:dyDescent="0.35">
      <c r="A30" s="108" t="s">
        <v>51</v>
      </c>
      <c r="B30" s="112">
        <f>B28-B29</f>
        <v>99.58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5">
      <c r="A31" s="108" t="s">
        <v>52</v>
      </c>
      <c r="B31" s="115">
        <v>1</v>
      </c>
      <c r="C31" s="482" t="s">
        <v>53</v>
      </c>
      <c r="D31" s="483"/>
      <c r="E31" s="483"/>
      <c r="F31" s="483"/>
      <c r="G31" s="483"/>
      <c r="H31" s="484"/>
      <c r="I31" s="111"/>
      <c r="J31" s="111"/>
      <c r="K31" s="111"/>
      <c r="L31" s="111"/>
    </row>
    <row r="32" spans="1:14" s="14" customFormat="1" ht="27" customHeight="1" x14ac:dyDescent="0.45">
      <c r="A32" s="108" t="s">
        <v>54</v>
      </c>
      <c r="B32" s="115">
        <v>1</v>
      </c>
      <c r="C32" s="482" t="s">
        <v>55</v>
      </c>
      <c r="D32" s="483"/>
      <c r="E32" s="483"/>
      <c r="F32" s="483"/>
      <c r="G32" s="483"/>
      <c r="H32" s="484"/>
      <c r="I32" s="111"/>
      <c r="J32" s="111"/>
      <c r="K32" s="111"/>
      <c r="L32" s="116"/>
      <c r="M32" s="116"/>
      <c r="N32" s="117"/>
    </row>
    <row r="33" spans="1:14" s="14" customFormat="1" ht="17.25" customHeight="1" x14ac:dyDescent="0.35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" x14ac:dyDescent="0.35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5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5">
      <c r="A36" s="121" t="s">
        <v>58</v>
      </c>
      <c r="B36" s="122">
        <v>20</v>
      </c>
      <c r="C36" s="98"/>
      <c r="D36" s="485" t="s">
        <v>59</v>
      </c>
      <c r="E36" s="503"/>
      <c r="F36" s="485" t="s">
        <v>60</v>
      </c>
      <c r="G36" s="486"/>
      <c r="J36" s="111"/>
      <c r="K36" s="111"/>
      <c r="L36" s="116"/>
      <c r="M36" s="116"/>
      <c r="N36" s="117"/>
    </row>
    <row r="37" spans="1:14" s="14" customFormat="1" ht="27" customHeight="1" x14ac:dyDescent="0.45">
      <c r="A37" s="123" t="s">
        <v>61</v>
      </c>
      <c r="B37" s="124">
        <v>4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5">
      <c r="A38" s="123" t="s">
        <v>66</v>
      </c>
      <c r="B38" s="124">
        <v>100</v>
      </c>
      <c r="C38" s="130">
        <v>1</v>
      </c>
      <c r="D38" s="311">
        <v>5918031</v>
      </c>
      <c r="E38" s="131">
        <f>IF(ISBLANK(D38),"-",$D$48/$D$45*D38)</f>
        <v>5547716.7463908512</v>
      </c>
      <c r="F38" s="311">
        <v>6164300</v>
      </c>
      <c r="G38" s="132">
        <f>IF(ISBLANK(F38),"-",$D$48/$F$45*F38)</f>
        <v>5530138.9229515502</v>
      </c>
      <c r="I38" s="133"/>
      <c r="J38" s="111"/>
      <c r="K38" s="111"/>
      <c r="L38" s="116"/>
      <c r="M38" s="116"/>
      <c r="N38" s="117"/>
    </row>
    <row r="39" spans="1:14" s="14" customFormat="1" ht="26.25" customHeight="1" x14ac:dyDescent="0.45">
      <c r="A39" s="123" t="s">
        <v>67</v>
      </c>
      <c r="B39" s="124">
        <v>1</v>
      </c>
      <c r="C39" s="134">
        <v>2</v>
      </c>
      <c r="D39" s="316">
        <v>5918980</v>
      </c>
      <c r="E39" s="136">
        <f>IF(ISBLANK(D39),"-",$D$48/$D$45*D39)</f>
        <v>5548606.3637639815</v>
      </c>
      <c r="F39" s="316">
        <v>6174952</v>
      </c>
      <c r="G39" s="137">
        <f>IF(ISBLANK(F39),"-",$D$48/$F$45*F39)</f>
        <v>5539695.0833926843</v>
      </c>
      <c r="I39" s="487">
        <f>ABS((F43/D43*D42)-F42)/D42</f>
        <v>2.0817900373676711E-3</v>
      </c>
      <c r="J39" s="111"/>
      <c r="K39" s="111"/>
      <c r="L39" s="116"/>
      <c r="M39" s="116"/>
      <c r="N39" s="117"/>
    </row>
    <row r="40" spans="1:14" ht="26.25" customHeight="1" x14ac:dyDescent="0.45">
      <c r="A40" s="123" t="s">
        <v>68</v>
      </c>
      <c r="B40" s="124">
        <v>1</v>
      </c>
      <c r="C40" s="134">
        <v>3</v>
      </c>
      <c r="D40" s="316">
        <v>5902603</v>
      </c>
      <c r="E40" s="136">
        <f>IF(ISBLANK(D40),"-",$D$48/$D$45*D40)</f>
        <v>5533254.1364512751</v>
      </c>
      <c r="F40" s="316">
        <v>6160369</v>
      </c>
      <c r="G40" s="137">
        <f>IF(ISBLANK(F40),"-",$D$48/$F$45*F40)</f>
        <v>5526612.3301338544</v>
      </c>
      <c r="I40" s="487"/>
      <c r="L40" s="116"/>
      <c r="M40" s="116"/>
      <c r="N40" s="138"/>
    </row>
    <row r="41" spans="1:14" ht="27" customHeight="1" x14ac:dyDescent="0.45">
      <c r="A41" s="123" t="s">
        <v>69</v>
      </c>
      <c r="B41" s="124">
        <v>1</v>
      </c>
      <c r="C41" s="139">
        <v>4</v>
      </c>
      <c r="D41" s="321"/>
      <c r="E41" s="140" t="str">
        <f>IF(ISBLANK(D41),"-",$D$48/$D$45*D41)</f>
        <v>-</v>
      </c>
      <c r="F41" s="321"/>
      <c r="G41" s="141" t="str">
        <f>IF(ISBLANK(F41),"-",$D$48/$F$45*F41)</f>
        <v>-</v>
      </c>
      <c r="I41" s="142"/>
      <c r="L41" s="116"/>
      <c r="M41" s="116"/>
      <c r="N41" s="138"/>
    </row>
    <row r="42" spans="1:14" ht="27" customHeight="1" x14ac:dyDescent="0.45">
      <c r="A42" s="123" t="s">
        <v>70</v>
      </c>
      <c r="B42" s="124">
        <v>1</v>
      </c>
      <c r="C42" s="143" t="s">
        <v>71</v>
      </c>
      <c r="D42" s="144">
        <f>AVERAGE(D38:D41)</f>
        <v>5913204.666666667</v>
      </c>
      <c r="E42" s="145">
        <f>AVERAGE(E38:E41)</f>
        <v>5543192.415535369</v>
      </c>
      <c r="F42" s="144">
        <f>AVERAGE(F38:F41)</f>
        <v>6166540.333333333</v>
      </c>
      <c r="G42" s="146">
        <f>AVERAGE(G38:G41)</f>
        <v>5532148.778826029</v>
      </c>
      <c r="H42" s="147"/>
    </row>
    <row r="43" spans="1:14" ht="26.25" customHeight="1" x14ac:dyDescent="0.45">
      <c r="A43" s="123" t="s">
        <v>72</v>
      </c>
      <c r="B43" s="124">
        <v>1</v>
      </c>
      <c r="C43" s="148" t="s">
        <v>73</v>
      </c>
      <c r="D43" s="149">
        <v>17.14</v>
      </c>
      <c r="E43" s="138"/>
      <c r="F43" s="149">
        <v>17.91</v>
      </c>
      <c r="H43" s="147"/>
    </row>
    <row r="44" spans="1:14" ht="26.25" customHeight="1" x14ac:dyDescent="0.45">
      <c r="A44" s="123" t="s">
        <v>74</v>
      </c>
      <c r="B44" s="124">
        <v>1</v>
      </c>
      <c r="C44" s="150" t="s">
        <v>75</v>
      </c>
      <c r="D44" s="151">
        <f>D43*$B$34</f>
        <v>17.14</v>
      </c>
      <c r="E44" s="152"/>
      <c r="F44" s="151">
        <f>F43*$B$34</f>
        <v>17.91</v>
      </c>
      <c r="H44" s="147"/>
    </row>
    <row r="45" spans="1:14" ht="19.5" customHeight="1" x14ac:dyDescent="0.35">
      <c r="A45" s="123" t="s">
        <v>76</v>
      </c>
      <c r="B45" s="153">
        <f>(B44/B43)*(B42/B41)*(B40/B39)*(B38/B37)*B36</f>
        <v>500</v>
      </c>
      <c r="C45" s="150" t="s">
        <v>77</v>
      </c>
      <c r="D45" s="154">
        <f>D44*$B$30/100</f>
        <v>17.068012</v>
      </c>
      <c r="E45" s="155"/>
      <c r="F45" s="154">
        <f>F44*$B$30/100</f>
        <v>17.834778</v>
      </c>
      <c r="H45" s="147"/>
    </row>
    <row r="46" spans="1:14" ht="19.5" customHeight="1" x14ac:dyDescent="0.35">
      <c r="A46" s="473" t="s">
        <v>78</v>
      </c>
      <c r="B46" s="474"/>
      <c r="C46" s="150" t="s">
        <v>79</v>
      </c>
      <c r="D46" s="156">
        <f>D45/$B$45</f>
        <v>3.4136024000000001E-2</v>
      </c>
      <c r="E46" s="157"/>
      <c r="F46" s="158">
        <f>F45/$B$45</f>
        <v>3.5669555999999998E-2</v>
      </c>
      <c r="H46" s="147"/>
    </row>
    <row r="47" spans="1:14" ht="27" customHeight="1" x14ac:dyDescent="0.45">
      <c r="A47" s="475"/>
      <c r="B47" s="476"/>
      <c r="C47" s="159" t="s">
        <v>80</v>
      </c>
      <c r="D47" s="160">
        <v>3.2000000000000001E-2</v>
      </c>
      <c r="E47" s="161"/>
      <c r="F47" s="157"/>
      <c r="H47" s="147"/>
    </row>
    <row r="48" spans="1:14" ht="18" x14ac:dyDescent="0.35">
      <c r="C48" s="162" t="s">
        <v>81</v>
      </c>
      <c r="D48" s="154">
        <f>D47*$B$45</f>
        <v>16</v>
      </c>
      <c r="F48" s="163"/>
      <c r="H48" s="147"/>
    </row>
    <row r="49" spans="1:12" ht="19.5" customHeight="1" x14ac:dyDescent="0.35">
      <c r="C49" s="164" t="s">
        <v>82</v>
      </c>
      <c r="D49" s="165">
        <f>D48/B34</f>
        <v>16</v>
      </c>
      <c r="F49" s="163"/>
      <c r="H49" s="147"/>
    </row>
    <row r="50" spans="1:12" ht="18" x14ac:dyDescent="0.35">
      <c r="C50" s="121" t="s">
        <v>83</v>
      </c>
      <c r="D50" s="166">
        <f>AVERAGE(E38:E41,G38:G41)</f>
        <v>5537670.597180699</v>
      </c>
      <c r="F50" s="167"/>
      <c r="H50" s="147"/>
    </row>
    <row r="51" spans="1:12" ht="18" x14ac:dyDescent="0.35">
      <c r="C51" s="123" t="s">
        <v>84</v>
      </c>
      <c r="D51" s="168">
        <f>STDEV(E38:E41,G38:G41)/D50</f>
        <v>1.6612132414256789E-3</v>
      </c>
      <c r="F51" s="167"/>
      <c r="H51" s="147"/>
    </row>
    <row r="52" spans="1:12" ht="19.5" customHeight="1" x14ac:dyDescent="0.35">
      <c r="C52" s="169" t="s">
        <v>20</v>
      </c>
      <c r="D52" s="170">
        <f>COUNT(E38:E41,G38:G41)</f>
        <v>6</v>
      </c>
      <c r="F52" s="167"/>
    </row>
    <row r="54" spans="1:12" ht="18" x14ac:dyDescent="0.35">
      <c r="A54" s="171" t="s">
        <v>1</v>
      </c>
      <c r="B54" s="172" t="s">
        <v>85</v>
      </c>
    </row>
    <row r="55" spans="1:12" ht="18" x14ac:dyDescent="0.35">
      <c r="A55" s="98" t="s">
        <v>86</v>
      </c>
      <c r="B55" s="173" t="str">
        <f>B21</f>
        <v xml:space="preserve">Each tablet contains: Sulphamethoxazole B.P. 800 mg and Trimethoprim B.P. 160 mg.
</v>
      </c>
    </row>
    <row r="56" spans="1:12" ht="26.25" customHeight="1" x14ac:dyDescent="0.45">
      <c r="A56" s="174" t="s">
        <v>87</v>
      </c>
      <c r="B56" s="175">
        <v>160</v>
      </c>
      <c r="C56" s="98" t="str">
        <f>B20</f>
        <v>Trimethoprim BP</v>
      </c>
      <c r="H56" s="176"/>
    </row>
    <row r="57" spans="1:12" ht="18" x14ac:dyDescent="0.35">
      <c r="A57" s="173" t="s">
        <v>88</v>
      </c>
      <c r="B57" s="264">
        <f>Uniformity!C46</f>
        <v>1041.3634999999999</v>
      </c>
      <c r="H57" s="176"/>
    </row>
    <row r="58" spans="1:12" ht="19.5" customHeight="1" x14ac:dyDescent="0.35">
      <c r="H58" s="176"/>
    </row>
    <row r="59" spans="1:12" s="14" customFormat="1" ht="27" customHeight="1" x14ac:dyDescent="0.45">
      <c r="A59" s="121" t="s">
        <v>89</v>
      </c>
      <c r="B59" s="122">
        <v>200</v>
      </c>
      <c r="C59" s="98"/>
      <c r="D59" s="177" t="s">
        <v>90</v>
      </c>
      <c r="E59" s="178" t="s">
        <v>62</v>
      </c>
      <c r="F59" s="178" t="s">
        <v>63</v>
      </c>
      <c r="G59" s="178" t="s">
        <v>91</v>
      </c>
      <c r="H59" s="125" t="s">
        <v>92</v>
      </c>
      <c r="L59" s="111"/>
    </row>
    <row r="60" spans="1:12" s="14" customFormat="1" ht="26.25" customHeight="1" x14ac:dyDescent="0.45">
      <c r="A60" s="123" t="s">
        <v>93</v>
      </c>
      <c r="B60" s="124">
        <v>4</v>
      </c>
      <c r="C60" s="490" t="s">
        <v>94</v>
      </c>
      <c r="D60" s="493">
        <v>1031.68</v>
      </c>
      <c r="E60" s="179">
        <v>1</v>
      </c>
      <c r="F60" s="180">
        <v>5328807</v>
      </c>
      <c r="G60" s="265">
        <f>IF(ISBLANK(F60),"-",(F60/$D$50*$D$47*$B$68)*($B$57/$D$60))</f>
        <v>155.4104418668062</v>
      </c>
      <c r="H60" s="181">
        <f t="shared" ref="H60:H71" si="0">IF(ISBLANK(F60),"-",G60/$B$56)</f>
        <v>0.97131526166753868</v>
      </c>
      <c r="L60" s="111"/>
    </row>
    <row r="61" spans="1:12" s="14" customFormat="1" ht="26.25" customHeight="1" x14ac:dyDescent="0.45">
      <c r="A61" s="123" t="s">
        <v>95</v>
      </c>
      <c r="B61" s="124">
        <v>100</v>
      </c>
      <c r="C61" s="491"/>
      <c r="D61" s="494"/>
      <c r="E61" s="182">
        <v>2</v>
      </c>
      <c r="F61" s="135">
        <v>5327284</v>
      </c>
      <c r="G61" s="266">
        <f>IF(ISBLANK(F61),"-",(F61/$D$50*$D$47*$B$68)*($B$57/$D$60))</f>
        <v>155.3660247762711</v>
      </c>
      <c r="H61" s="183">
        <f t="shared" si="0"/>
        <v>0.97103765485169435</v>
      </c>
      <c r="L61" s="111"/>
    </row>
    <row r="62" spans="1:12" s="14" customFormat="1" ht="26.25" customHeight="1" x14ac:dyDescent="0.45">
      <c r="A62" s="123" t="s">
        <v>96</v>
      </c>
      <c r="B62" s="124">
        <v>1</v>
      </c>
      <c r="C62" s="491"/>
      <c r="D62" s="494"/>
      <c r="E62" s="182">
        <v>3</v>
      </c>
      <c r="F62" s="184">
        <v>5320148</v>
      </c>
      <c r="G62" s="266">
        <f>IF(ISBLANK(F62),"-",(F62/$D$50*$D$47*$B$68)*($B$57/$D$60))</f>
        <v>155.15790897977826</v>
      </c>
      <c r="H62" s="183">
        <f t="shared" si="0"/>
        <v>0.96973693112361414</v>
      </c>
      <c r="L62" s="111"/>
    </row>
    <row r="63" spans="1:12" ht="27" customHeight="1" x14ac:dyDescent="0.45">
      <c r="A63" s="123" t="s">
        <v>97</v>
      </c>
      <c r="B63" s="124">
        <v>1</v>
      </c>
      <c r="C63" s="501"/>
      <c r="D63" s="495"/>
      <c r="E63" s="185">
        <v>4</v>
      </c>
      <c r="F63" s="186"/>
      <c r="G63" s="266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5">
      <c r="A64" s="123" t="s">
        <v>98</v>
      </c>
      <c r="B64" s="124">
        <v>1</v>
      </c>
      <c r="C64" s="490" t="s">
        <v>99</v>
      </c>
      <c r="D64" s="493">
        <v>1045.1500000000001</v>
      </c>
      <c r="E64" s="179">
        <v>1</v>
      </c>
      <c r="F64" s="180">
        <v>5438447</v>
      </c>
      <c r="G64" s="267">
        <f>IF(ISBLANK(F64),"-",(F64/$D$50*$D$47*$B$68)*($B$57/$D$64))</f>
        <v>156.5638495722155</v>
      </c>
      <c r="H64" s="187">
        <f t="shared" si="0"/>
        <v>0.97852405982634694</v>
      </c>
    </row>
    <row r="65" spans="1:8" ht="26.25" customHeight="1" x14ac:dyDescent="0.45">
      <c r="A65" s="123" t="s">
        <v>100</v>
      </c>
      <c r="B65" s="124">
        <v>1</v>
      </c>
      <c r="C65" s="491"/>
      <c r="D65" s="494"/>
      <c r="E65" s="182">
        <v>2</v>
      </c>
      <c r="F65" s="135">
        <v>5434555</v>
      </c>
      <c r="G65" s="268">
        <f>IF(ISBLANK(F65),"-",(F65/$D$50*$D$47*$B$68)*($B$57/$D$64))</f>
        <v>156.45180536133415</v>
      </c>
      <c r="H65" s="188">
        <f t="shared" si="0"/>
        <v>0.97782378350833843</v>
      </c>
    </row>
    <row r="66" spans="1:8" ht="26.25" customHeight="1" x14ac:dyDescent="0.45">
      <c r="A66" s="123" t="s">
        <v>101</v>
      </c>
      <c r="B66" s="124">
        <v>1</v>
      </c>
      <c r="C66" s="491"/>
      <c r="D66" s="494"/>
      <c r="E66" s="182">
        <v>3</v>
      </c>
      <c r="F66" s="135">
        <v>5449375</v>
      </c>
      <c r="G66" s="268">
        <f>IF(ISBLANK(F66),"-",(F66/$D$50*$D$47*$B$68)*($B$57/$D$64))</f>
        <v>156.87844852815365</v>
      </c>
      <c r="H66" s="188">
        <f t="shared" si="0"/>
        <v>0.98049030330096032</v>
      </c>
    </row>
    <row r="67" spans="1:8" ht="27" customHeight="1" x14ac:dyDescent="0.45">
      <c r="A67" s="123" t="s">
        <v>102</v>
      </c>
      <c r="B67" s="124">
        <v>1</v>
      </c>
      <c r="C67" s="501"/>
      <c r="D67" s="495"/>
      <c r="E67" s="185">
        <v>4</v>
      </c>
      <c r="F67" s="186"/>
      <c r="G67" s="269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5">
      <c r="A68" s="123" t="s">
        <v>103</v>
      </c>
      <c r="B68" s="190">
        <f>(B67/B66)*(B65/B64)*(B63/B62)*(B61/B60)*B59</f>
        <v>5000</v>
      </c>
      <c r="C68" s="490" t="s">
        <v>104</v>
      </c>
      <c r="D68" s="493">
        <v>1050.6500000000001</v>
      </c>
      <c r="E68" s="179">
        <v>1</v>
      </c>
      <c r="F68" s="180">
        <v>5438960</v>
      </c>
      <c r="G68" s="267">
        <f>IF(ISBLANK(F68),"-",(F68/$D$50*$D$47*$B$68)*($B$57/$D$68))</f>
        <v>155.75895168872191</v>
      </c>
      <c r="H68" s="183">
        <f t="shared" si="0"/>
        <v>0.97349344805451188</v>
      </c>
    </row>
    <row r="69" spans="1:8" ht="27" customHeight="1" x14ac:dyDescent="0.5">
      <c r="A69" s="169" t="s">
        <v>105</v>
      </c>
      <c r="B69" s="191">
        <f>(D47*B68)/B56*B57</f>
        <v>1041.3634999999999</v>
      </c>
      <c r="C69" s="491"/>
      <c r="D69" s="494"/>
      <c r="E69" s="182">
        <v>2</v>
      </c>
      <c r="F69" s="135">
        <v>5434986</v>
      </c>
      <c r="G69" s="268">
        <f>IF(ISBLANK(F69),"-",(F69/$D$50*$D$47*$B$68)*($B$57/$D$68))</f>
        <v>155.6451457269184</v>
      </c>
      <c r="H69" s="183">
        <f t="shared" si="0"/>
        <v>0.97278216079323998</v>
      </c>
    </row>
    <row r="70" spans="1:8" ht="26.25" customHeight="1" x14ac:dyDescent="0.45">
      <c r="A70" s="496" t="s">
        <v>78</v>
      </c>
      <c r="B70" s="497"/>
      <c r="C70" s="491"/>
      <c r="D70" s="494"/>
      <c r="E70" s="182">
        <v>3</v>
      </c>
      <c r="F70" s="135">
        <v>5439448</v>
      </c>
      <c r="G70" s="268">
        <f>IF(ISBLANK(F70),"-",(F70/$D$50*$D$47*$B$68)*($B$57/$D$68))</f>
        <v>155.77292685464039</v>
      </c>
      <c r="H70" s="183">
        <f t="shared" si="0"/>
        <v>0.97358079284150245</v>
      </c>
    </row>
    <row r="71" spans="1:8" ht="27" customHeight="1" x14ac:dyDescent="0.45">
      <c r="A71" s="498"/>
      <c r="B71" s="499"/>
      <c r="C71" s="492"/>
      <c r="D71" s="495"/>
      <c r="E71" s="185">
        <v>4</v>
      </c>
      <c r="F71" s="186"/>
      <c r="G71" s="269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5">
      <c r="A72" s="193"/>
      <c r="B72" s="193"/>
      <c r="C72" s="193"/>
      <c r="D72" s="193"/>
      <c r="E72" s="193"/>
      <c r="F72" s="195" t="s">
        <v>71</v>
      </c>
      <c r="G72" s="274">
        <f>AVERAGE(G60:G71)</f>
        <v>155.88950037275993</v>
      </c>
      <c r="H72" s="196">
        <f>AVERAGE(H60:H71)</f>
        <v>0.97430937732974954</v>
      </c>
    </row>
    <row r="73" spans="1:8" ht="26.25" customHeight="1" x14ac:dyDescent="0.45">
      <c r="C73" s="193"/>
      <c r="D73" s="193"/>
      <c r="E73" s="193"/>
      <c r="F73" s="197" t="s">
        <v>84</v>
      </c>
      <c r="G73" s="270">
        <f>STDEV(G60:G71)/G72</f>
        <v>3.8475725235694409E-3</v>
      </c>
      <c r="H73" s="270">
        <f>STDEV(H60:H71)/H72</f>
        <v>3.8475725235694444E-3</v>
      </c>
    </row>
    <row r="74" spans="1:8" ht="27" customHeight="1" x14ac:dyDescent="0.45">
      <c r="A74" s="193"/>
      <c r="B74" s="193"/>
      <c r="C74" s="194"/>
      <c r="D74" s="194"/>
      <c r="E74" s="198"/>
      <c r="F74" s="199" t="s">
        <v>20</v>
      </c>
      <c r="G74" s="200">
        <f>COUNT(G60:G71)</f>
        <v>9</v>
      </c>
      <c r="H74" s="200">
        <f>COUNT(H60:H71)</f>
        <v>9</v>
      </c>
    </row>
    <row r="76" spans="1:8" ht="26.25" customHeight="1" x14ac:dyDescent="0.45">
      <c r="A76" s="107" t="s">
        <v>106</v>
      </c>
      <c r="B76" s="201" t="s">
        <v>107</v>
      </c>
      <c r="C76" s="477" t="str">
        <f>B20</f>
        <v>Trimethoprim BP</v>
      </c>
      <c r="D76" s="477"/>
      <c r="E76" s="202" t="s">
        <v>108</v>
      </c>
      <c r="F76" s="202"/>
      <c r="G76" s="203">
        <f>H72</f>
        <v>0.97430937732974954</v>
      </c>
      <c r="H76" s="204"/>
    </row>
    <row r="77" spans="1:8" ht="18" x14ac:dyDescent="0.35">
      <c r="A77" s="106" t="s">
        <v>109</v>
      </c>
      <c r="B77" s="106" t="s">
        <v>110</v>
      </c>
    </row>
    <row r="78" spans="1:8" ht="18" x14ac:dyDescent="0.35">
      <c r="A78" s="106"/>
      <c r="B78" s="106"/>
    </row>
    <row r="79" spans="1:8" ht="26.25" customHeight="1" x14ac:dyDescent="0.45">
      <c r="A79" s="107" t="s">
        <v>4</v>
      </c>
      <c r="B79" s="500" t="str">
        <f>B26</f>
        <v>Trimethoprim</v>
      </c>
      <c r="C79" s="500"/>
    </row>
    <row r="80" spans="1:8" ht="26.25" customHeight="1" x14ac:dyDescent="0.45">
      <c r="A80" s="108" t="s">
        <v>48</v>
      </c>
      <c r="B80" s="500" t="str">
        <f>B27</f>
        <v>T7 2</v>
      </c>
      <c r="C80" s="500"/>
    </row>
    <row r="81" spans="1:12" ht="27" customHeight="1" x14ac:dyDescent="0.45">
      <c r="A81" s="108" t="s">
        <v>6</v>
      </c>
      <c r="B81" s="205">
        <f>B28</f>
        <v>99.58</v>
      </c>
    </row>
    <row r="82" spans="1:12" s="14" customFormat="1" ht="27" customHeight="1" x14ac:dyDescent="0.5">
      <c r="A82" s="108" t="s">
        <v>49</v>
      </c>
      <c r="B82" s="110">
        <v>0</v>
      </c>
      <c r="C82" s="479" t="s">
        <v>50</v>
      </c>
      <c r="D82" s="480"/>
      <c r="E82" s="480"/>
      <c r="F82" s="480"/>
      <c r="G82" s="481"/>
      <c r="I82" s="111"/>
      <c r="J82" s="111"/>
      <c r="K82" s="111"/>
      <c r="L82" s="111"/>
    </row>
    <row r="83" spans="1:12" s="14" customFormat="1" ht="19.5" customHeight="1" x14ac:dyDescent="0.35">
      <c r="A83" s="108" t="s">
        <v>51</v>
      </c>
      <c r="B83" s="112">
        <f>B81-B82</f>
        <v>99.58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5">
      <c r="A84" s="108" t="s">
        <v>52</v>
      </c>
      <c r="B84" s="115">
        <v>1</v>
      </c>
      <c r="C84" s="482" t="s">
        <v>111</v>
      </c>
      <c r="D84" s="483"/>
      <c r="E84" s="483"/>
      <c r="F84" s="483"/>
      <c r="G84" s="483"/>
      <c r="H84" s="484"/>
      <c r="I84" s="111"/>
      <c r="J84" s="111"/>
      <c r="K84" s="111"/>
      <c r="L84" s="111"/>
    </row>
    <row r="85" spans="1:12" s="14" customFormat="1" ht="27" customHeight="1" x14ac:dyDescent="0.45">
      <c r="A85" s="108" t="s">
        <v>54</v>
      </c>
      <c r="B85" s="115">
        <v>1</v>
      </c>
      <c r="C85" s="482" t="s">
        <v>112</v>
      </c>
      <c r="D85" s="483"/>
      <c r="E85" s="483"/>
      <c r="F85" s="483"/>
      <c r="G85" s="483"/>
      <c r="H85" s="484"/>
      <c r="I85" s="111"/>
      <c r="J85" s="111"/>
      <c r="K85" s="111"/>
      <c r="L85" s="111"/>
    </row>
    <row r="86" spans="1:12" s="14" customFormat="1" ht="18" x14ac:dyDescent="0.3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" x14ac:dyDescent="0.35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5">
      <c r="A88" s="106"/>
      <c r="B88" s="106"/>
    </row>
    <row r="89" spans="1:12" ht="27" customHeight="1" x14ac:dyDescent="0.45">
      <c r="A89" s="121" t="s">
        <v>58</v>
      </c>
      <c r="B89" s="122">
        <v>20</v>
      </c>
      <c r="D89" s="206" t="s">
        <v>59</v>
      </c>
      <c r="E89" s="207"/>
      <c r="F89" s="485" t="s">
        <v>60</v>
      </c>
      <c r="G89" s="486"/>
    </row>
    <row r="90" spans="1:12" ht="27" customHeight="1" x14ac:dyDescent="0.45">
      <c r="A90" s="123" t="s">
        <v>61</v>
      </c>
      <c r="B90" s="124">
        <v>4</v>
      </c>
      <c r="C90" s="208" t="s">
        <v>62</v>
      </c>
      <c r="D90" s="126" t="s">
        <v>63</v>
      </c>
      <c r="E90" s="127" t="s">
        <v>64</v>
      </c>
      <c r="F90" s="126" t="s">
        <v>63</v>
      </c>
      <c r="G90" s="209" t="s">
        <v>64</v>
      </c>
      <c r="I90" s="129" t="s">
        <v>65</v>
      </c>
    </row>
    <row r="91" spans="1:12" ht="26.25" customHeight="1" x14ac:dyDescent="0.45">
      <c r="A91" s="123" t="s">
        <v>66</v>
      </c>
      <c r="B91" s="124">
        <v>100</v>
      </c>
      <c r="C91" s="210">
        <v>1</v>
      </c>
      <c r="D91" s="311">
        <v>5918031</v>
      </c>
      <c r="E91" s="131">
        <f>IF(ISBLANK(D91),"-",$D$101/$D$98*D91)</f>
        <v>6164129.7182120569</v>
      </c>
      <c r="F91" s="311">
        <v>6164300</v>
      </c>
      <c r="G91" s="132">
        <f>IF(ISBLANK(F91),"-",$D$101/$F$98*F91)</f>
        <v>6144598.8032795005</v>
      </c>
      <c r="I91" s="133"/>
    </row>
    <row r="92" spans="1:12" ht="26.25" customHeight="1" x14ac:dyDescent="0.45">
      <c r="A92" s="123" t="s">
        <v>67</v>
      </c>
      <c r="B92" s="124">
        <v>1</v>
      </c>
      <c r="C92" s="194">
        <v>2</v>
      </c>
      <c r="D92" s="316">
        <v>5918980</v>
      </c>
      <c r="E92" s="136">
        <f>IF(ISBLANK(D92),"-",$D$101/$D$98*D92)</f>
        <v>6165118.1819599792</v>
      </c>
      <c r="F92" s="316">
        <v>6174952</v>
      </c>
      <c r="G92" s="137">
        <f>IF(ISBLANK(F92),"-",$D$101/$F$98*F92)</f>
        <v>6155216.7593252044</v>
      </c>
      <c r="I92" s="487">
        <f>ABS((F96/D96*D95)-F95)/D95</f>
        <v>2.0817900373676711E-3</v>
      </c>
    </row>
    <row r="93" spans="1:12" ht="26.25" customHeight="1" x14ac:dyDescent="0.45">
      <c r="A93" s="123" t="s">
        <v>68</v>
      </c>
      <c r="B93" s="124">
        <v>1</v>
      </c>
      <c r="C93" s="194">
        <v>3</v>
      </c>
      <c r="D93" s="316">
        <v>5902603</v>
      </c>
      <c r="E93" s="136">
        <f>IF(ISBLANK(D93),"-",$D$101/$D$98*D93)</f>
        <v>6148060.1516125277</v>
      </c>
      <c r="F93" s="316">
        <v>6160369</v>
      </c>
      <c r="G93" s="137">
        <f>IF(ISBLANK(F93),"-",$D$101/$F$98*F93)</f>
        <v>6140680.3668153938</v>
      </c>
      <c r="I93" s="487"/>
    </row>
    <row r="94" spans="1:12" ht="27" customHeight="1" x14ac:dyDescent="0.45">
      <c r="A94" s="123" t="s">
        <v>69</v>
      </c>
      <c r="B94" s="124">
        <v>1</v>
      </c>
      <c r="C94" s="211">
        <v>4</v>
      </c>
      <c r="D94" s="321"/>
      <c r="E94" s="140" t="str">
        <f>IF(ISBLANK(D94),"-",$D$101/$D$98*D94)</f>
        <v>-</v>
      </c>
      <c r="F94" s="321"/>
      <c r="G94" s="141" t="str">
        <f>IF(ISBLANK(F94),"-",$D$101/$F$98*F94)</f>
        <v>-</v>
      </c>
      <c r="I94" s="142"/>
    </row>
    <row r="95" spans="1:12" ht="27" customHeight="1" x14ac:dyDescent="0.45">
      <c r="A95" s="123" t="s">
        <v>70</v>
      </c>
      <c r="B95" s="124">
        <v>1</v>
      </c>
      <c r="C95" s="212" t="s">
        <v>71</v>
      </c>
      <c r="D95" s="213">
        <f>AVERAGE(D91:D94)</f>
        <v>5913204.666666667</v>
      </c>
      <c r="E95" s="145">
        <f>AVERAGE(E91:E94)</f>
        <v>6159102.6839281879</v>
      </c>
      <c r="F95" s="214">
        <f>AVERAGE(F91:F94)</f>
        <v>6166540.333333333</v>
      </c>
      <c r="G95" s="215">
        <f>AVERAGE(G91:G94)</f>
        <v>6146831.9764733659</v>
      </c>
    </row>
    <row r="96" spans="1:12" ht="26.25" customHeight="1" x14ac:dyDescent="0.45">
      <c r="A96" s="123" t="s">
        <v>72</v>
      </c>
      <c r="B96" s="109">
        <v>1</v>
      </c>
      <c r="C96" s="216" t="s">
        <v>113</v>
      </c>
      <c r="D96" s="217">
        <f>D43</f>
        <v>17.14</v>
      </c>
      <c r="E96" s="138"/>
      <c r="F96" s="149">
        <f>F43</f>
        <v>17.91</v>
      </c>
    </row>
    <row r="97" spans="1:10" ht="26.25" customHeight="1" x14ac:dyDescent="0.45">
      <c r="A97" s="123" t="s">
        <v>74</v>
      </c>
      <c r="B97" s="109">
        <v>1</v>
      </c>
      <c r="C97" s="218" t="s">
        <v>114</v>
      </c>
      <c r="D97" s="219">
        <f>D96*$B$87</f>
        <v>17.14</v>
      </c>
      <c r="E97" s="152"/>
      <c r="F97" s="151">
        <f>F96*$B$87</f>
        <v>17.91</v>
      </c>
    </row>
    <row r="98" spans="1:10" ht="19.5" customHeight="1" x14ac:dyDescent="0.35">
      <c r="A98" s="123" t="s">
        <v>76</v>
      </c>
      <c r="B98" s="220">
        <f>(B97/B96)*(B95/B94)*(B93/B92)*(B91/B90)*B89</f>
        <v>500</v>
      </c>
      <c r="C98" s="218" t="s">
        <v>115</v>
      </c>
      <c r="D98" s="221">
        <f>D97*$B$83/100</f>
        <v>17.068012</v>
      </c>
      <c r="E98" s="155"/>
      <c r="F98" s="154">
        <f>F97*$B$83/100</f>
        <v>17.834778</v>
      </c>
    </row>
    <row r="99" spans="1:10" ht="19.5" customHeight="1" x14ac:dyDescent="0.35">
      <c r="A99" s="473" t="s">
        <v>78</v>
      </c>
      <c r="B99" s="488"/>
      <c r="C99" s="218" t="s">
        <v>116</v>
      </c>
      <c r="D99" s="222">
        <f>D98/$B$98</f>
        <v>3.4136024000000001E-2</v>
      </c>
      <c r="E99" s="155"/>
      <c r="F99" s="158">
        <f>F98/$B$98</f>
        <v>3.5669555999999998E-2</v>
      </c>
      <c r="G99" s="223"/>
      <c r="H99" s="147"/>
    </row>
    <row r="100" spans="1:10" ht="19.5" customHeight="1" x14ac:dyDescent="0.35">
      <c r="A100" s="475"/>
      <c r="B100" s="489"/>
      <c r="C100" s="218" t="s">
        <v>80</v>
      </c>
      <c r="D100" s="224">
        <f>$B$56/$B$116</f>
        <v>3.5555555555555556E-2</v>
      </c>
      <c r="F100" s="163"/>
      <c r="G100" s="225"/>
      <c r="H100" s="147"/>
    </row>
    <row r="101" spans="1:10" ht="18" x14ac:dyDescent="0.35">
      <c r="C101" s="218" t="s">
        <v>81</v>
      </c>
      <c r="D101" s="219">
        <f>D100*$B$98</f>
        <v>17.777777777777779</v>
      </c>
      <c r="F101" s="163"/>
      <c r="G101" s="223"/>
      <c r="H101" s="147"/>
    </row>
    <row r="102" spans="1:10" ht="19.5" customHeight="1" x14ac:dyDescent="0.35">
      <c r="C102" s="226" t="s">
        <v>82</v>
      </c>
      <c r="D102" s="227">
        <f>D101/B34</f>
        <v>17.777777777777779</v>
      </c>
      <c r="F102" s="167"/>
      <c r="G102" s="223"/>
      <c r="H102" s="147"/>
      <c r="J102" s="228"/>
    </row>
    <row r="103" spans="1:10" ht="18" x14ac:dyDescent="0.35">
      <c r="C103" s="229" t="s">
        <v>117</v>
      </c>
      <c r="D103" s="230">
        <f>AVERAGE(E91:E94,G91:G94)</f>
        <v>6152967.3302007774</v>
      </c>
      <c r="F103" s="167"/>
      <c r="G103" s="231"/>
      <c r="H103" s="147"/>
      <c r="J103" s="232"/>
    </row>
    <row r="104" spans="1:10" ht="18" x14ac:dyDescent="0.35">
      <c r="C104" s="197" t="s">
        <v>84</v>
      </c>
      <c r="D104" s="233">
        <f>STDEV(E91:E94,G91:G94)/D103</f>
        <v>1.6612132414256656E-3</v>
      </c>
      <c r="F104" s="167"/>
      <c r="G104" s="223"/>
      <c r="H104" s="147"/>
      <c r="J104" s="232"/>
    </row>
    <row r="105" spans="1:10" ht="19.5" customHeight="1" x14ac:dyDescent="0.35">
      <c r="C105" s="199" t="s">
        <v>20</v>
      </c>
      <c r="D105" s="234">
        <f>COUNT(E91:E94,G91:G94)</f>
        <v>6</v>
      </c>
      <c r="F105" s="167"/>
      <c r="G105" s="223"/>
      <c r="H105" s="147"/>
      <c r="J105" s="232"/>
    </row>
    <row r="106" spans="1:10" ht="19.5" customHeight="1" x14ac:dyDescent="0.35">
      <c r="A106" s="171"/>
      <c r="B106" s="171"/>
      <c r="C106" s="171"/>
      <c r="D106" s="171"/>
      <c r="E106" s="171"/>
    </row>
    <row r="107" spans="1:10" ht="26.25" customHeight="1" x14ac:dyDescent="0.45">
      <c r="A107" s="121" t="s">
        <v>118</v>
      </c>
      <c r="B107" s="122">
        <v>900</v>
      </c>
      <c r="C107" s="235" t="s">
        <v>119</v>
      </c>
      <c r="D107" s="236" t="s">
        <v>63</v>
      </c>
      <c r="E107" s="237" t="s">
        <v>120</v>
      </c>
      <c r="F107" s="238" t="s">
        <v>121</v>
      </c>
    </row>
    <row r="108" spans="1:10" ht="26.25" customHeight="1" x14ac:dyDescent="0.45">
      <c r="A108" s="123" t="s">
        <v>122</v>
      </c>
      <c r="B108" s="124">
        <v>5</v>
      </c>
      <c r="C108" s="239">
        <v>1</v>
      </c>
      <c r="D108" s="240">
        <v>5304512</v>
      </c>
      <c r="E108" s="271">
        <f t="shared" ref="E108:E113" si="1">IF(ISBLANK(D108),"-",D108/$D$103*$D$100*$B$116)</f>
        <v>137.93701062480781</v>
      </c>
      <c r="F108" s="241">
        <f t="shared" ref="F108:F113" si="2">IF(ISBLANK(D108), "-", E108/$B$56)</f>
        <v>0.86210631640504887</v>
      </c>
    </row>
    <row r="109" spans="1:10" ht="26.25" customHeight="1" x14ac:dyDescent="0.45">
      <c r="A109" s="123" t="s">
        <v>95</v>
      </c>
      <c r="B109" s="124">
        <v>25</v>
      </c>
      <c r="C109" s="239">
        <v>2</v>
      </c>
      <c r="D109" s="240">
        <v>5296391</v>
      </c>
      <c r="E109" s="272">
        <f t="shared" si="1"/>
        <v>137.72583446698516</v>
      </c>
      <c r="F109" s="242">
        <f t="shared" si="2"/>
        <v>0.86078646541865722</v>
      </c>
    </row>
    <row r="110" spans="1:10" ht="26.25" customHeight="1" x14ac:dyDescent="0.45">
      <c r="A110" s="123" t="s">
        <v>96</v>
      </c>
      <c r="B110" s="124">
        <v>1</v>
      </c>
      <c r="C110" s="239">
        <v>3</v>
      </c>
      <c r="D110" s="240">
        <v>5304052</v>
      </c>
      <c r="E110" s="272">
        <f t="shared" si="1"/>
        <v>137.92504891657012</v>
      </c>
      <c r="F110" s="242">
        <f t="shared" si="2"/>
        <v>0.86203155572856327</v>
      </c>
    </row>
    <row r="111" spans="1:10" ht="26.25" customHeight="1" x14ac:dyDescent="0.45">
      <c r="A111" s="123" t="s">
        <v>97</v>
      </c>
      <c r="B111" s="124">
        <v>1</v>
      </c>
      <c r="C111" s="239">
        <v>4</v>
      </c>
      <c r="D111" s="240">
        <v>5292361</v>
      </c>
      <c r="E111" s="272">
        <f t="shared" si="1"/>
        <v>137.62103950133746</v>
      </c>
      <c r="F111" s="242">
        <f t="shared" si="2"/>
        <v>0.8601314968833591</v>
      </c>
    </row>
    <row r="112" spans="1:10" ht="26.25" customHeight="1" x14ac:dyDescent="0.45">
      <c r="A112" s="123" t="s">
        <v>98</v>
      </c>
      <c r="B112" s="124">
        <v>1</v>
      </c>
      <c r="C112" s="239">
        <v>5</v>
      </c>
      <c r="D112" s="240">
        <v>5301941</v>
      </c>
      <c r="E112" s="272">
        <f t="shared" si="1"/>
        <v>137.87015507724445</v>
      </c>
      <c r="F112" s="242">
        <f t="shared" si="2"/>
        <v>0.86168846923277775</v>
      </c>
    </row>
    <row r="113" spans="1:10" ht="26.25" customHeight="1" x14ac:dyDescent="0.45">
      <c r="A113" s="123" t="s">
        <v>100</v>
      </c>
      <c r="B113" s="124">
        <v>1</v>
      </c>
      <c r="C113" s="243">
        <v>6</v>
      </c>
      <c r="D113" s="244">
        <v>5309921</v>
      </c>
      <c r="E113" s="273">
        <f t="shared" si="1"/>
        <v>138.07766471145513</v>
      </c>
      <c r="F113" s="245">
        <f t="shared" si="2"/>
        <v>0.86298540444659455</v>
      </c>
    </row>
    <row r="114" spans="1:10" ht="26.25" customHeight="1" x14ac:dyDescent="0.45">
      <c r="A114" s="123" t="s">
        <v>101</v>
      </c>
      <c r="B114" s="124">
        <v>1</v>
      </c>
      <c r="C114" s="239"/>
      <c r="D114" s="194"/>
      <c r="E114" s="97"/>
      <c r="F114" s="246"/>
    </row>
    <row r="115" spans="1:10" ht="26.25" customHeight="1" x14ac:dyDescent="0.45">
      <c r="A115" s="123" t="s">
        <v>102</v>
      </c>
      <c r="B115" s="124">
        <v>1</v>
      </c>
      <c r="C115" s="239"/>
      <c r="D115" s="247" t="s">
        <v>71</v>
      </c>
      <c r="E115" s="275">
        <f>AVERAGE(E108:E113)</f>
        <v>137.85945888306668</v>
      </c>
      <c r="F115" s="248">
        <f>AVERAGE(F108:F113)</f>
        <v>0.86162161801916681</v>
      </c>
    </row>
    <row r="116" spans="1:10" ht="27" customHeight="1" x14ac:dyDescent="0.45">
      <c r="A116" s="123" t="s">
        <v>103</v>
      </c>
      <c r="B116" s="153">
        <f>(B115/B114)*(B113/B112)*(B111/B110)*(B109/B108)*B107</f>
        <v>4500</v>
      </c>
      <c r="C116" s="249"/>
      <c r="D116" s="212" t="s">
        <v>84</v>
      </c>
      <c r="E116" s="250">
        <f>STDEV(E108:E113)/E115</f>
        <v>1.1819131287467192E-3</v>
      </c>
      <c r="F116" s="250">
        <f>STDEV(F108:F113)/F115</f>
        <v>1.1819131287467489E-3</v>
      </c>
      <c r="I116" s="97"/>
    </row>
    <row r="117" spans="1:10" ht="27" customHeight="1" x14ac:dyDescent="0.45">
      <c r="A117" s="473" t="s">
        <v>78</v>
      </c>
      <c r="B117" s="474"/>
      <c r="C117" s="251"/>
      <c r="D117" s="252" t="s">
        <v>20</v>
      </c>
      <c r="E117" s="253">
        <f>COUNT(E108:E113)</f>
        <v>6</v>
      </c>
      <c r="F117" s="253">
        <f>COUNT(F108:F113)</f>
        <v>6</v>
      </c>
      <c r="I117" s="97"/>
      <c r="J117" s="232"/>
    </row>
    <row r="118" spans="1:10" ht="19.5" customHeight="1" x14ac:dyDescent="0.35">
      <c r="A118" s="475"/>
      <c r="B118" s="476"/>
      <c r="C118" s="97"/>
      <c r="D118" s="97"/>
      <c r="E118" s="97"/>
      <c r="F118" s="194"/>
      <c r="G118" s="97"/>
      <c r="H118" s="97"/>
      <c r="I118" s="97"/>
    </row>
    <row r="119" spans="1:10" ht="18" x14ac:dyDescent="0.35">
      <c r="A119" s="262"/>
      <c r="B119" s="119"/>
      <c r="C119" s="97"/>
      <c r="D119" s="97"/>
      <c r="E119" s="97"/>
      <c r="F119" s="194"/>
      <c r="G119" s="97"/>
      <c r="H119" s="97"/>
      <c r="I119" s="97"/>
    </row>
    <row r="120" spans="1:10" ht="26.25" customHeight="1" x14ac:dyDescent="0.45">
      <c r="A120" s="107" t="s">
        <v>106</v>
      </c>
      <c r="B120" s="201" t="s">
        <v>123</v>
      </c>
      <c r="C120" s="477" t="str">
        <f>B20</f>
        <v>Trimethoprim BP</v>
      </c>
      <c r="D120" s="477"/>
      <c r="E120" s="202" t="s">
        <v>124</v>
      </c>
      <c r="F120" s="202"/>
      <c r="G120" s="203">
        <f>F115</f>
        <v>0.86162161801916681</v>
      </c>
      <c r="H120" s="97"/>
      <c r="I120" s="97"/>
    </row>
    <row r="121" spans="1:10" ht="19.5" customHeight="1" x14ac:dyDescent="0.35">
      <c r="A121" s="254"/>
      <c r="B121" s="254"/>
      <c r="C121" s="255"/>
      <c r="D121" s="255"/>
      <c r="E121" s="255"/>
      <c r="F121" s="255"/>
      <c r="G121" s="255"/>
      <c r="H121" s="255"/>
    </row>
    <row r="122" spans="1:10" ht="18" x14ac:dyDescent="0.35">
      <c r="B122" s="478" t="s">
        <v>26</v>
      </c>
      <c r="C122" s="478"/>
      <c r="E122" s="208" t="s">
        <v>27</v>
      </c>
      <c r="F122" s="256"/>
      <c r="G122" s="478" t="s">
        <v>28</v>
      </c>
      <c r="H122" s="478"/>
    </row>
    <row r="123" spans="1:10" ht="69.900000000000006" customHeight="1" x14ac:dyDescent="0.35">
      <c r="A123" s="257" t="s">
        <v>29</v>
      </c>
      <c r="B123" s="258"/>
      <c r="C123" s="258"/>
      <c r="E123" s="258"/>
      <c r="F123" s="97"/>
      <c r="G123" s="259"/>
      <c r="H123" s="259"/>
    </row>
    <row r="124" spans="1:10" ht="69.900000000000006" customHeight="1" x14ac:dyDescent="0.35">
      <c r="A124" s="257" t="s">
        <v>30</v>
      </c>
      <c r="B124" s="260"/>
      <c r="C124" s="260"/>
      <c r="E124" s="260"/>
      <c r="F124" s="97"/>
      <c r="G124" s="261"/>
      <c r="H124" s="261"/>
    </row>
    <row r="125" spans="1:10" ht="18" x14ac:dyDescent="0.35">
      <c r="A125" s="193"/>
      <c r="B125" s="193"/>
      <c r="C125" s="194"/>
      <c r="D125" s="194"/>
      <c r="E125" s="194"/>
      <c r="F125" s="198"/>
      <c r="G125" s="194"/>
      <c r="H125" s="194"/>
      <c r="I125" s="97"/>
    </row>
    <row r="126" spans="1:10" ht="18" x14ac:dyDescent="0.35">
      <c r="A126" s="193"/>
      <c r="B126" s="193"/>
      <c r="C126" s="194"/>
      <c r="D126" s="194"/>
      <c r="E126" s="194"/>
      <c r="F126" s="198"/>
      <c r="G126" s="194"/>
      <c r="H126" s="194"/>
      <c r="I126" s="97"/>
    </row>
    <row r="127" spans="1:10" ht="18" x14ac:dyDescent="0.35">
      <c r="A127" s="193"/>
      <c r="B127" s="193"/>
      <c r="C127" s="194"/>
      <c r="D127" s="194"/>
      <c r="E127" s="194"/>
      <c r="F127" s="198"/>
      <c r="G127" s="194"/>
      <c r="H127" s="194"/>
      <c r="I127" s="97"/>
    </row>
    <row r="128" spans="1:10" ht="18" x14ac:dyDescent="0.35">
      <c r="A128" s="193"/>
      <c r="B128" s="193"/>
      <c r="C128" s="194"/>
      <c r="D128" s="194"/>
      <c r="E128" s="194"/>
      <c r="F128" s="198"/>
      <c r="G128" s="194"/>
      <c r="H128" s="194"/>
      <c r="I128" s="97"/>
    </row>
    <row r="129" spans="1:9" ht="18" x14ac:dyDescent="0.35">
      <c r="A129" s="193"/>
      <c r="B129" s="193"/>
      <c r="C129" s="194"/>
      <c r="D129" s="194"/>
      <c r="E129" s="194"/>
      <c r="F129" s="198"/>
      <c r="G129" s="194"/>
      <c r="H129" s="194"/>
      <c r="I129" s="97"/>
    </row>
    <row r="130" spans="1:9" ht="18" x14ac:dyDescent="0.35">
      <c r="A130" s="193"/>
      <c r="B130" s="193"/>
      <c r="C130" s="194"/>
      <c r="D130" s="194"/>
      <c r="E130" s="194"/>
      <c r="F130" s="198"/>
      <c r="G130" s="194"/>
      <c r="H130" s="194"/>
      <c r="I130" s="97"/>
    </row>
    <row r="131" spans="1:9" ht="18" x14ac:dyDescent="0.35">
      <c r="A131" s="193"/>
      <c r="B131" s="193"/>
      <c r="C131" s="194"/>
      <c r="D131" s="194"/>
      <c r="E131" s="194"/>
      <c r="F131" s="198"/>
      <c r="G131" s="194"/>
      <c r="H131" s="194"/>
      <c r="I131" s="97"/>
    </row>
    <row r="132" spans="1:9" ht="18" x14ac:dyDescent="0.35">
      <c r="A132" s="193"/>
      <c r="B132" s="193"/>
      <c r="C132" s="194"/>
      <c r="D132" s="194"/>
      <c r="E132" s="194"/>
      <c r="F132" s="198"/>
      <c r="G132" s="194"/>
      <c r="H132" s="194"/>
      <c r="I132" s="97"/>
    </row>
    <row r="133" spans="1:9" ht="18" x14ac:dyDescent="0.35">
      <c r="A133" s="193"/>
      <c r="B133" s="193"/>
      <c r="C133" s="194"/>
      <c r="D133" s="194"/>
      <c r="E133" s="194"/>
      <c r="F133" s="198"/>
      <c r="G133" s="194"/>
      <c r="H133" s="194"/>
      <c r="I133" s="97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79" zoomScale="70" zoomScaleNormal="70" zoomScalePageLayoutView="55" workbookViewId="0">
      <selection activeCell="D113" sqref="D11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471" t="s">
        <v>45</v>
      </c>
      <c r="B1" s="471"/>
      <c r="C1" s="471"/>
      <c r="D1" s="471"/>
      <c r="E1" s="471"/>
      <c r="F1" s="471"/>
      <c r="G1" s="471"/>
      <c r="H1" s="471"/>
      <c r="I1" s="471"/>
    </row>
    <row r="2" spans="1:9" ht="18.75" customHeight="1" x14ac:dyDescent="0.3">
      <c r="A2" s="471"/>
      <c r="B2" s="471"/>
      <c r="C2" s="471"/>
      <c r="D2" s="471"/>
      <c r="E2" s="471"/>
      <c r="F2" s="471"/>
      <c r="G2" s="471"/>
      <c r="H2" s="471"/>
      <c r="I2" s="471"/>
    </row>
    <row r="3" spans="1:9" ht="18.7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</row>
    <row r="4" spans="1:9" ht="18.75" customHeight="1" x14ac:dyDescent="0.3">
      <c r="A4" s="471"/>
      <c r="B4" s="471"/>
      <c r="C4" s="471"/>
      <c r="D4" s="471"/>
      <c r="E4" s="471"/>
      <c r="F4" s="471"/>
      <c r="G4" s="471"/>
      <c r="H4" s="471"/>
      <c r="I4" s="471"/>
    </row>
    <row r="5" spans="1:9" ht="18.75" customHeight="1" x14ac:dyDescent="0.3">
      <c r="A5" s="471"/>
      <c r="B5" s="471"/>
      <c r="C5" s="471"/>
      <c r="D5" s="471"/>
      <c r="E5" s="471"/>
      <c r="F5" s="471"/>
      <c r="G5" s="471"/>
      <c r="H5" s="471"/>
      <c r="I5" s="471"/>
    </row>
    <row r="6" spans="1:9" ht="18.75" customHeight="1" x14ac:dyDescent="0.3">
      <c r="A6" s="471"/>
      <c r="B6" s="471"/>
      <c r="C6" s="471"/>
      <c r="D6" s="471"/>
      <c r="E6" s="471"/>
      <c r="F6" s="471"/>
      <c r="G6" s="471"/>
      <c r="H6" s="471"/>
      <c r="I6" s="471"/>
    </row>
    <row r="7" spans="1:9" ht="18.75" customHeight="1" x14ac:dyDescent="0.3">
      <c r="A7" s="471"/>
      <c r="B7" s="471"/>
      <c r="C7" s="471"/>
      <c r="D7" s="471"/>
      <c r="E7" s="471"/>
      <c r="F7" s="471"/>
      <c r="G7" s="471"/>
      <c r="H7" s="471"/>
      <c r="I7" s="471"/>
    </row>
    <row r="8" spans="1:9" x14ac:dyDescent="0.3">
      <c r="A8" s="472" t="s">
        <v>46</v>
      </c>
      <c r="B8" s="472"/>
      <c r="C8" s="472"/>
      <c r="D8" s="472"/>
      <c r="E8" s="472"/>
      <c r="F8" s="472"/>
      <c r="G8" s="472"/>
      <c r="H8" s="472"/>
      <c r="I8" s="472"/>
    </row>
    <row r="9" spans="1:9" x14ac:dyDescent="0.3">
      <c r="A9" s="472"/>
      <c r="B9" s="472"/>
      <c r="C9" s="472"/>
      <c r="D9" s="472"/>
      <c r="E9" s="472"/>
      <c r="F9" s="472"/>
      <c r="G9" s="472"/>
      <c r="H9" s="472"/>
      <c r="I9" s="472"/>
    </row>
    <row r="10" spans="1:9" x14ac:dyDescent="0.3">
      <c r="A10" s="472"/>
      <c r="B10" s="472"/>
      <c r="C10" s="472"/>
      <c r="D10" s="472"/>
      <c r="E10" s="472"/>
      <c r="F10" s="472"/>
      <c r="G10" s="472"/>
      <c r="H10" s="472"/>
      <c r="I10" s="472"/>
    </row>
    <row r="11" spans="1:9" x14ac:dyDescent="0.3">
      <c r="A11" s="472"/>
      <c r="B11" s="472"/>
      <c r="C11" s="472"/>
      <c r="D11" s="472"/>
      <c r="E11" s="472"/>
      <c r="F11" s="472"/>
      <c r="G11" s="472"/>
      <c r="H11" s="472"/>
      <c r="I11" s="472"/>
    </row>
    <row r="12" spans="1:9" x14ac:dyDescent="0.3">
      <c r="A12" s="472"/>
      <c r="B12" s="472"/>
      <c r="C12" s="472"/>
      <c r="D12" s="472"/>
      <c r="E12" s="472"/>
      <c r="F12" s="472"/>
      <c r="G12" s="472"/>
      <c r="H12" s="472"/>
      <c r="I12" s="472"/>
    </row>
    <row r="13" spans="1:9" x14ac:dyDescent="0.3">
      <c r="A13" s="472"/>
      <c r="B13" s="472"/>
      <c r="C13" s="472"/>
      <c r="D13" s="472"/>
      <c r="E13" s="472"/>
      <c r="F13" s="472"/>
      <c r="G13" s="472"/>
      <c r="H13" s="472"/>
      <c r="I13" s="472"/>
    </row>
    <row r="14" spans="1:9" x14ac:dyDescent="0.3">
      <c r="A14" s="472"/>
      <c r="B14" s="472"/>
      <c r="C14" s="472"/>
      <c r="D14" s="472"/>
      <c r="E14" s="472"/>
      <c r="F14" s="472"/>
      <c r="G14" s="472"/>
      <c r="H14" s="472"/>
      <c r="I14" s="472"/>
    </row>
    <row r="15" spans="1:9" ht="19.5" customHeight="1" x14ac:dyDescent="0.35">
      <c r="A15" s="277"/>
    </row>
    <row r="16" spans="1:9" ht="19.5" customHeight="1" x14ac:dyDescent="0.35">
      <c r="A16" s="505" t="s">
        <v>31</v>
      </c>
      <c r="B16" s="506"/>
      <c r="C16" s="506"/>
      <c r="D16" s="506"/>
      <c r="E16" s="506"/>
      <c r="F16" s="506"/>
      <c r="G16" s="506"/>
      <c r="H16" s="507"/>
    </row>
    <row r="17" spans="1:14" ht="20.25" customHeight="1" x14ac:dyDescent="0.3">
      <c r="A17" s="508" t="s">
        <v>47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5">
      <c r="A18" s="279" t="s">
        <v>33</v>
      </c>
      <c r="B18" s="504" t="s">
        <v>5</v>
      </c>
      <c r="C18" s="504"/>
      <c r="D18" s="445"/>
      <c r="E18" s="280"/>
      <c r="F18" s="281"/>
      <c r="G18" s="281"/>
      <c r="H18" s="281"/>
    </row>
    <row r="19" spans="1:14" ht="26.25" customHeight="1" x14ac:dyDescent="0.5">
      <c r="A19" s="279" t="s">
        <v>34</v>
      </c>
      <c r="B19" s="282" t="s">
        <v>7</v>
      </c>
      <c r="C19" s="458">
        <v>29</v>
      </c>
      <c r="D19" s="281"/>
      <c r="E19" s="281"/>
      <c r="F19" s="281"/>
      <c r="G19" s="281"/>
      <c r="H19" s="281"/>
    </row>
    <row r="20" spans="1:14" ht="26.25" customHeight="1" x14ac:dyDescent="0.5">
      <c r="A20" s="279" t="s">
        <v>35</v>
      </c>
      <c r="B20" s="509" t="s">
        <v>129</v>
      </c>
      <c r="C20" s="509"/>
      <c r="D20" s="281"/>
      <c r="E20" s="281"/>
      <c r="F20" s="281"/>
      <c r="G20" s="281"/>
      <c r="H20" s="281"/>
    </row>
    <row r="21" spans="1:14" ht="26.25" customHeight="1" x14ac:dyDescent="0.5">
      <c r="A21" s="279" t="s">
        <v>36</v>
      </c>
      <c r="B21" s="509" t="s">
        <v>11</v>
      </c>
      <c r="C21" s="509"/>
      <c r="D21" s="509"/>
      <c r="E21" s="509"/>
      <c r="F21" s="509"/>
      <c r="G21" s="509"/>
      <c r="H21" s="509"/>
      <c r="I21" s="283"/>
    </row>
    <row r="22" spans="1:14" ht="26.25" customHeight="1" x14ac:dyDescent="0.5">
      <c r="A22" s="279" t="s">
        <v>37</v>
      </c>
      <c r="B22" s="284">
        <f>Trimethoprim!B22</f>
        <v>42524</v>
      </c>
      <c r="C22" s="281"/>
      <c r="D22" s="281"/>
      <c r="E22" s="281"/>
      <c r="F22" s="281"/>
      <c r="G22" s="281"/>
      <c r="H22" s="281"/>
    </row>
    <row r="23" spans="1:14" ht="26.25" customHeight="1" x14ac:dyDescent="0.5">
      <c r="A23" s="279" t="s">
        <v>38</v>
      </c>
      <c r="B23" s="284">
        <f>Trimethoprim!B23</f>
        <v>42538</v>
      </c>
      <c r="C23" s="281"/>
      <c r="D23" s="281"/>
      <c r="E23" s="281"/>
      <c r="F23" s="281"/>
      <c r="G23" s="281"/>
      <c r="H23" s="281"/>
    </row>
    <row r="24" spans="1:14" ht="18" x14ac:dyDescent="0.35">
      <c r="A24" s="279"/>
      <c r="B24" s="285"/>
    </row>
    <row r="25" spans="1:14" ht="18" x14ac:dyDescent="0.35">
      <c r="A25" s="286" t="s">
        <v>1</v>
      </c>
      <c r="B25" s="285"/>
    </row>
    <row r="26" spans="1:14" ht="26.25" customHeight="1" x14ac:dyDescent="0.45">
      <c r="A26" s="287" t="s">
        <v>4</v>
      </c>
      <c r="B26" s="504" t="s">
        <v>125</v>
      </c>
      <c r="C26" s="504"/>
    </row>
    <row r="27" spans="1:14" ht="26.25" customHeight="1" x14ac:dyDescent="0.5">
      <c r="A27" s="288" t="s">
        <v>48</v>
      </c>
      <c r="B27" s="502" t="s">
        <v>126</v>
      </c>
      <c r="C27" s="502"/>
    </row>
    <row r="28" spans="1:14" ht="27" customHeight="1" x14ac:dyDescent="0.45">
      <c r="A28" s="288" t="s">
        <v>6</v>
      </c>
      <c r="B28" s="289">
        <v>99.66</v>
      </c>
    </row>
    <row r="29" spans="1:14" s="14" customFormat="1" ht="27" customHeight="1" x14ac:dyDescent="0.5">
      <c r="A29" s="288" t="s">
        <v>49</v>
      </c>
      <c r="B29" s="290">
        <v>0</v>
      </c>
      <c r="C29" s="479" t="s">
        <v>50</v>
      </c>
      <c r="D29" s="480"/>
      <c r="E29" s="480"/>
      <c r="F29" s="480"/>
      <c r="G29" s="481"/>
      <c r="I29" s="291"/>
      <c r="J29" s="291"/>
      <c r="K29" s="291"/>
      <c r="L29" s="291"/>
    </row>
    <row r="30" spans="1:14" s="14" customFormat="1" ht="19.5" customHeight="1" x14ac:dyDescent="0.35">
      <c r="A30" s="288" t="s">
        <v>51</v>
      </c>
      <c r="B30" s="292">
        <f>B28-B29</f>
        <v>99.66</v>
      </c>
      <c r="C30" s="293"/>
      <c r="D30" s="293"/>
      <c r="E30" s="293"/>
      <c r="F30" s="293"/>
      <c r="G30" s="294"/>
      <c r="I30" s="291"/>
      <c r="J30" s="291"/>
      <c r="K30" s="291"/>
      <c r="L30" s="291"/>
    </row>
    <row r="31" spans="1:14" s="14" customFormat="1" ht="27" customHeight="1" x14ac:dyDescent="0.45">
      <c r="A31" s="288" t="s">
        <v>52</v>
      </c>
      <c r="B31" s="295">
        <v>1</v>
      </c>
      <c r="C31" s="482" t="s">
        <v>53</v>
      </c>
      <c r="D31" s="483"/>
      <c r="E31" s="483"/>
      <c r="F31" s="483"/>
      <c r="G31" s="483"/>
      <c r="H31" s="484"/>
      <c r="I31" s="291"/>
      <c r="J31" s="291"/>
      <c r="K31" s="291"/>
      <c r="L31" s="291"/>
    </row>
    <row r="32" spans="1:14" s="14" customFormat="1" ht="27" customHeight="1" x14ac:dyDescent="0.45">
      <c r="A32" s="288" t="s">
        <v>54</v>
      </c>
      <c r="B32" s="295">
        <v>1</v>
      </c>
      <c r="C32" s="482" t="s">
        <v>55</v>
      </c>
      <c r="D32" s="483"/>
      <c r="E32" s="483"/>
      <c r="F32" s="483"/>
      <c r="G32" s="483"/>
      <c r="H32" s="484"/>
      <c r="I32" s="291"/>
      <c r="J32" s="291"/>
      <c r="K32" s="291"/>
      <c r="L32" s="296"/>
      <c r="M32" s="296"/>
      <c r="N32" s="297"/>
    </row>
    <row r="33" spans="1:14" s="14" customFormat="1" ht="17.25" customHeight="1" x14ac:dyDescent="0.35">
      <c r="A33" s="288"/>
      <c r="B33" s="298"/>
      <c r="C33" s="299"/>
      <c r="D33" s="299"/>
      <c r="E33" s="299"/>
      <c r="F33" s="299"/>
      <c r="G33" s="299"/>
      <c r="H33" s="299"/>
      <c r="I33" s="291"/>
      <c r="J33" s="291"/>
      <c r="K33" s="291"/>
      <c r="L33" s="296"/>
      <c r="M33" s="296"/>
      <c r="N33" s="297"/>
    </row>
    <row r="34" spans="1:14" s="14" customFormat="1" ht="18" x14ac:dyDescent="0.35">
      <c r="A34" s="288" t="s">
        <v>56</v>
      </c>
      <c r="B34" s="300">
        <f>B31/B32</f>
        <v>1</v>
      </c>
      <c r="C34" s="278" t="s">
        <v>57</v>
      </c>
      <c r="D34" s="278"/>
      <c r="E34" s="278"/>
      <c r="F34" s="278"/>
      <c r="G34" s="278"/>
      <c r="I34" s="291"/>
      <c r="J34" s="291"/>
      <c r="K34" s="291"/>
      <c r="L34" s="296"/>
      <c r="M34" s="296"/>
      <c r="N34" s="297"/>
    </row>
    <row r="35" spans="1:14" s="14" customFormat="1" ht="19.5" customHeight="1" x14ac:dyDescent="0.35">
      <c r="A35" s="288"/>
      <c r="B35" s="292"/>
      <c r="G35" s="278"/>
      <c r="I35" s="291"/>
      <c r="J35" s="291"/>
      <c r="K35" s="291"/>
      <c r="L35" s="296"/>
      <c r="M35" s="296"/>
      <c r="N35" s="297"/>
    </row>
    <row r="36" spans="1:14" s="14" customFormat="1" ht="27" customHeight="1" x14ac:dyDescent="0.45">
      <c r="A36" s="301" t="s">
        <v>58</v>
      </c>
      <c r="B36" s="302">
        <v>100</v>
      </c>
      <c r="C36" s="278"/>
      <c r="D36" s="485" t="s">
        <v>59</v>
      </c>
      <c r="E36" s="503"/>
      <c r="F36" s="485" t="s">
        <v>60</v>
      </c>
      <c r="G36" s="486"/>
      <c r="J36" s="291"/>
      <c r="K36" s="291"/>
      <c r="L36" s="296"/>
      <c r="M36" s="296"/>
      <c r="N36" s="297"/>
    </row>
    <row r="37" spans="1:14" s="14" customFormat="1" ht="27" customHeight="1" x14ac:dyDescent="0.45">
      <c r="A37" s="303" t="s">
        <v>61</v>
      </c>
      <c r="B37" s="304">
        <v>1</v>
      </c>
      <c r="C37" s="305" t="s">
        <v>62</v>
      </c>
      <c r="D37" s="306" t="s">
        <v>63</v>
      </c>
      <c r="E37" s="307" t="s">
        <v>64</v>
      </c>
      <c r="F37" s="306" t="s">
        <v>63</v>
      </c>
      <c r="G37" s="308" t="s">
        <v>64</v>
      </c>
      <c r="I37" s="309" t="s">
        <v>65</v>
      </c>
      <c r="J37" s="291"/>
      <c r="K37" s="291"/>
      <c r="L37" s="296"/>
      <c r="M37" s="296"/>
      <c r="N37" s="297"/>
    </row>
    <row r="38" spans="1:14" s="14" customFormat="1" ht="26.25" customHeight="1" x14ac:dyDescent="0.45">
      <c r="A38" s="303" t="s">
        <v>66</v>
      </c>
      <c r="B38" s="304">
        <v>1</v>
      </c>
      <c r="C38" s="310">
        <v>1</v>
      </c>
      <c r="D38" s="311">
        <v>69829244</v>
      </c>
      <c r="E38" s="312">
        <f>IF(ISBLANK(D38),"-",$D$48/$D$45*D38)</f>
        <v>75189776.965357617</v>
      </c>
      <c r="F38" s="311">
        <v>81647404</v>
      </c>
      <c r="G38" s="313">
        <f>IF(ISBLANK(F38),"-",$D$48/$F$45*F38)</f>
        <v>76254522.152514592</v>
      </c>
      <c r="I38" s="314"/>
      <c r="J38" s="291"/>
      <c r="K38" s="291"/>
      <c r="L38" s="296"/>
      <c r="M38" s="296"/>
      <c r="N38" s="297"/>
    </row>
    <row r="39" spans="1:14" s="14" customFormat="1" ht="26.25" customHeight="1" x14ac:dyDescent="0.45">
      <c r="A39" s="303" t="s">
        <v>67</v>
      </c>
      <c r="B39" s="304">
        <v>1</v>
      </c>
      <c r="C39" s="315">
        <v>2</v>
      </c>
      <c r="D39" s="316">
        <v>69874879</v>
      </c>
      <c r="E39" s="317">
        <f>IF(ISBLANK(D39),"-",$D$48/$D$45*D39)</f>
        <v>75238915.195635661</v>
      </c>
      <c r="F39" s="316">
        <v>81852751</v>
      </c>
      <c r="G39" s="318">
        <f>IF(ISBLANK(F39),"-",$D$48/$F$45*F39)</f>
        <v>76446305.8050659</v>
      </c>
      <c r="I39" s="487">
        <f>ABS((F43/D43*D42)-F42)/D42</f>
        <v>1.789835893294062E-2</v>
      </c>
      <c r="J39" s="291"/>
      <c r="K39" s="291"/>
      <c r="L39" s="296"/>
      <c r="M39" s="296"/>
      <c r="N39" s="297"/>
    </row>
    <row r="40" spans="1:14" ht="26.25" customHeight="1" x14ac:dyDescent="0.45">
      <c r="A40" s="303" t="s">
        <v>68</v>
      </c>
      <c r="B40" s="304">
        <v>1</v>
      </c>
      <c r="C40" s="315">
        <v>3</v>
      </c>
      <c r="D40" s="316">
        <v>69736026</v>
      </c>
      <c r="E40" s="317">
        <f>IF(ISBLANK(D40),"-",$D$48/$D$45*D40)</f>
        <v>75089402.964041531</v>
      </c>
      <c r="F40" s="316">
        <v>81715694</v>
      </c>
      <c r="G40" s="318">
        <f>IF(ISBLANK(F40),"-",$D$48/$F$45*F40)</f>
        <v>76318301.538786262</v>
      </c>
      <c r="I40" s="487"/>
      <c r="L40" s="296"/>
      <c r="M40" s="296"/>
      <c r="N40" s="319"/>
    </row>
    <row r="41" spans="1:14" ht="27" customHeight="1" x14ac:dyDescent="0.45">
      <c r="A41" s="303" t="s">
        <v>69</v>
      </c>
      <c r="B41" s="304">
        <v>1</v>
      </c>
      <c r="C41" s="320">
        <v>4</v>
      </c>
      <c r="D41" s="321"/>
      <c r="E41" s="322" t="str">
        <f>IF(ISBLANK(D41),"-",$D$48/$D$45*D41)</f>
        <v>-</v>
      </c>
      <c r="F41" s="321"/>
      <c r="G41" s="323" t="str">
        <f>IF(ISBLANK(F41),"-",$D$48/$F$45*F41)</f>
        <v>-</v>
      </c>
      <c r="I41" s="324"/>
      <c r="L41" s="296"/>
      <c r="M41" s="296"/>
      <c r="N41" s="319"/>
    </row>
    <row r="42" spans="1:14" ht="27" customHeight="1" x14ac:dyDescent="0.45">
      <c r="A42" s="303" t="s">
        <v>70</v>
      </c>
      <c r="B42" s="304">
        <v>1</v>
      </c>
      <c r="C42" s="325" t="s">
        <v>71</v>
      </c>
      <c r="D42" s="326">
        <f>AVERAGE(D38:D41)</f>
        <v>69813383</v>
      </c>
      <c r="E42" s="327">
        <f>AVERAGE(E38:E41)</f>
        <v>75172698.375011608</v>
      </c>
      <c r="F42" s="326">
        <f>AVERAGE(F38:F41)</f>
        <v>81738616.333333328</v>
      </c>
      <c r="G42" s="328">
        <f>AVERAGE(G38:G41)</f>
        <v>76339709.832122251</v>
      </c>
      <c r="H42" s="329"/>
    </row>
    <row r="43" spans="1:14" ht="26.25" customHeight="1" x14ac:dyDescent="0.45">
      <c r="A43" s="303" t="s">
        <v>72</v>
      </c>
      <c r="B43" s="304">
        <v>1</v>
      </c>
      <c r="C43" s="330" t="s">
        <v>73</v>
      </c>
      <c r="D43" s="331">
        <v>14.91</v>
      </c>
      <c r="E43" s="319"/>
      <c r="F43" s="331">
        <v>17.190000000000001</v>
      </c>
      <c r="H43" s="329"/>
    </row>
    <row r="44" spans="1:14" ht="26.25" customHeight="1" x14ac:dyDescent="0.45">
      <c r="A44" s="303" t="s">
        <v>74</v>
      </c>
      <c r="B44" s="304">
        <v>1</v>
      </c>
      <c r="C44" s="332" t="s">
        <v>75</v>
      </c>
      <c r="D44" s="333">
        <f>D43*$B$34</f>
        <v>14.91</v>
      </c>
      <c r="E44" s="334"/>
      <c r="F44" s="333">
        <f>F43*$B$34</f>
        <v>17.190000000000001</v>
      </c>
      <c r="H44" s="329"/>
    </row>
    <row r="45" spans="1:14" ht="19.5" customHeight="1" x14ac:dyDescent="0.35">
      <c r="A45" s="303" t="s">
        <v>76</v>
      </c>
      <c r="B45" s="335">
        <f>(B44/B43)*(B42/B41)*(B40/B39)*(B38/B37)*B36</f>
        <v>100</v>
      </c>
      <c r="C45" s="332" t="s">
        <v>77</v>
      </c>
      <c r="D45" s="336">
        <f>D44*$B$30/100</f>
        <v>14.859305999999998</v>
      </c>
      <c r="E45" s="337"/>
      <c r="F45" s="336">
        <f>F44*$B$30/100</f>
        <v>17.131554000000001</v>
      </c>
      <c r="H45" s="329"/>
    </row>
    <row r="46" spans="1:14" ht="19.5" customHeight="1" x14ac:dyDescent="0.35">
      <c r="A46" s="473" t="s">
        <v>78</v>
      </c>
      <c r="B46" s="474"/>
      <c r="C46" s="332" t="s">
        <v>79</v>
      </c>
      <c r="D46" s="338">
        <f>D45/$B$45</f>
        <v>0.14859305999999997</v>
      </c>
      <c r="E46" s="339"/>
      <c r="F46" s="340">
        <f>F45/$B$45</f>
        <v>0.17131554000000002</v>
      </c>
      <c r="H46" s="329"/>
    </row>
    <row r="47" spans="1:14" ht="27" customHeight="1" x14ac:dyDescent="0.45">
      <c r="A47" s="475"/>
      <c r="B47" s="476"/>
      <c r="C47" s="341" t="s">
        <v>80</v>
      </c>
      <c r="D47" s="342">
        <v>0.16</v>
      </c>
      <c r="E47" s="343"/>
      <c r="F47" s="339"/>
      <c r="H47" s="329"/>
    </row>
    <row r="48" spans="1:14" ht="18" x14ac:dyDescent="0.35">
      <c r="C48" s="344" t="s">
        <v>81</v>
      </c>
      <c r="D48" s="336">
        <f>D47*$B$45</f>
        <v>16</v>
      </c>
      <c r="F48" s="345"/>
      <c r="H48" s="329"/>
    </row>
    <row r="49" spans="1:12" ht="19.5" customHeight="1" x14ac:dyDescent="0.35">
      <c r="C49" s="346" t="s">
        <v>82</v>
      </c>
      <c r="D49" s="347">
        <f>D48/B34</f>
        <v>16</v>
      </c>
      <c r="F49" s="345"/>
      <c r="H49" s="329"/>
    </row>
    <row r="50" spans="1:12" ht="18" x14ac:dyDescent="0.35">
      <c r="C50" s="301" t="s">
        <v>83</v>
      </c>
      <c r="D50" s="348">
        <f>AVERAGE(E38:E41,G38:G41)</f>
        <v>75756204.10356693</v>
      </c>
      <c r="F50" s="349"/>
      <c r="H50" s="329"/>
    </row>
    <row r="51" spans="1:12" ht="18" x14ac:dyDescent="0.35">
      <c r="C51" s="303" t="s">
        <v>84</v>
      </c>
      <c r="D51" s="350">
        <f>STDEV(E38:E41,G38:G41)/D50</f>
        <v>8.5007203264760352E-3</v>
      </c>
      <c r="F51" s="349"/>
      <c r="H51" s="329"/>
    </row>
    <row r="52" spans="1:12" ht="19.5" customHeight="1" x14ac:dyDescent="0.35">
      <c r="C52" s="351" t="s">
        <v>20</v>
      </c>
      <c r="D52" s="352">
        <f>COUNT(E38:E41,G38:G41)</f>
        <v>6</v>
      </c>
      <c r="F52" s="349"/>
    </row>
    <row r="54" spans="1:12" ht="18" x14ac:dyDescent="0.35">
      <c r="A54" s="353" t="s">
        <v>1</v>
      </c>
      <c r="B54" s="354" t="s">
        <v>85</v>
      </c>
    </row>
    <row r="55" spans="1:12" ht="18" x14ac:dyDescent="0.35">
      <c r="A55" s="278" t="s">
        <v>86</v>
      </c>
      <c r="B55" s="355" t="str">
        <f>B21</f>
        <v xml:space="preserve">Each tablet contains: Sulphamethoxazole B.P. 800 mg and Trimethoprim B.P. 160 mg.
</v>
      </c>
    </row>
    <row r="56" spans="1:12" ht="26.25" customHeight="1" x14ac:dyDescent="0.45">
      <c r="A56" s="356" t="s">
        <v>87</v>
      </c>
      <c r="B56" s="357">
        <v>800</v>
      </c>
      <c r="C56" s="278" t="str">
        <f>B20</f>
        <v xml:space="preserve">Sulfamethoxazole BP </v>
      </c>
      <c r="H56" s="358"/>
    </row>
    <row r="57" spans="1:12" ht="18" x14ac:dyDescent="0.35">
      <c r="A57" s="355" t="s">
        <v>88</v>
      </c>
      <c r="B57" s="446">
        <f>Uniformity!C46</f>
        <v>1041.3634999999999</v>
      </c>
      <c r="H57" s="358"/>
    </row>
    <row r="58" spans="1:12" ht="19.5" customHeight="1" x14ac:dyDescent="0.35">
      <c r="H58" s="358"/>
    </row>
    <row r="59" spans="1:12" s="14" customFormat="1" ht="27" customHeight="1" x14ac:dyDescent="0.45">
      <c r="A59" s="301" t="s">
        <v>89</v>
      </c>
      <c r="B59" s="302">
        <v>200</v>
      </c>
      <c r="C59" s="278"/>
      <c r="D59" s="359" t="s">
        <v>90</v>
      </c>
      <c r="E59" s="360" t="s">
        <v>62</v>
      </c>
      <c r="F59" s="360" t="s">
        <v>63</v>
      </c>
      <c r="G59" s="360" t="s">
        <v>91</v>
      </c>
      <c r="H59" s="305" t="s">
        <v>92</v>
      </c>
      <c r="L59" s="291"/>
    </row>
    <row r="60" spans="1:12" s="14" customFormat="1" ht="26.25" customHeight="1" x14ac:dyDescent="0.45">
      <c r="A60" s="303" t="s">
        <v>93</v>
      </c>
      <c r="B60" s="304">
        <v>4</v>
      </c>
      <c r="C60" s="490" t="s">
        <v>94</v>
      </c>
      <c r="D60" s="493">
        <f>Trimethoprim!D60</f>
        <v>1031.68</v>
      </c>
      <c r="E60" s="361">
        <v>1</v>
      </c>
      <c r="F60" s="362">
        <v>73844211</v>
      </c>
      <c r="G60" s="447">
        <f>IF(ISBLANK(F60),"-",(F60/$D$50*$D$47*$B$68)*($B$57/$D$60))</f>
        <v>787.12838893396804</v>
      </c>
      <c r="H60" s="363">
        <f t="shared" ref="H60:H71" si="0">IF(ISBLANK(F60),"-",G60/$B$56)</f>
        <v>0.98391048616746002</v>
      </c>
      <c r="L60" s="291"/>
    </row>
    <row r="61" spans="1:12" s="14" customFormat="1" ht="26.25" customHeight="1" x14ac:dyDescent="0.45">
      <c r="A61" s="303" t="s">
        <v>95</v>
      </c>
      <c r="B61" s="304">
        <v>100</v>
      </c>
      <c r="C61" s="491"/>
      <c r="D61" s="494"/>
      <c r="E61" s="364">
        <v>2</v>
      </c>
      <c r="F61" s="316">
        <v>73701256</v>
      </c>
      <c r="G61" s="448">
        <f>IF(ISBLANK(F61),"-",(F61/$D$50*$D$47*$B$68)*($B$57/$D$60))</f>
        <v>785.60458717190363</v>
      </c>
      <c r="H61" s="365">
        <f t="shared" si="0"/>
        <v>0.98200573396487956</v>
      </c>
      <c r="L61" s="291"/>
    </row>
    <row r="62" spans="1:12" s="14" customFormat="1" ht="26.25" customHeight="1" x14ac:dyDescent="0.45">
      <c r="A62" s="303" t="s">
        <v>96</v>
      </c>
      <c r="B62" s="304">
        <v>1</v>
      </c>
      <c r="C62" s="491"/>
      <c r="D62" s="494"/>
      <c r="E62" s="364">
        <v>3</v>
      </c>
      <c r="F62" s="366">
        <v>73608756</v>
      </c>
      <c r="G62" s="448">
        <f>IF(ISBLANK(F62),"-",(F62/$D$50*$D$47*$B$68)*($B$57/$D$60))</f>
        <v>784.61860093154155</v>
      </c>
      <c r="H62" s="365">
        <f t="shared" si="0"/>
        <v>0.98077325116442693</v>
      </c>
      <c r="L62" s="291"/>
    </row>
    <row r="63" spans="1:12" ht="27" customHeight="1" x14ac:dyDescent="0.45">
      <c r="A63" s="303" t="s">
        <v>97</v>
      </c>
      <c r="B63" s="304">
        <v>1</v>
      </c>
      <c r="C63" s="501"/>
      <c r="D63" s="495"/>
      <c r="E63" s="367">
        <v>4</v>
      </c>
      <c r="F63" s="368"/>
      <c r="G63" s="448" t="str">
        <f>IF(ISBLANK(F63),"-",(F63/$D$50*$D$47*$B$68)*($B$57/$D$60))</f>
        <v>-</v>
      </c>
      <c r="H63" s="365" t="str">
        <f t="shared" si="0"/>
        <v>-</v>
      </c>
    </row>
    <row r="64" spans="1:12" ht="26.25" customHeight="1" x14ac:dyDescent="0.45">
      <c r="A64" s="303" t="s">
        <v>98</v>
      </c>
      <c r="B64" s="304">
        <v>1</v>
      </c>
      <c r="C64" s="490" t="s">
        <v>99</v>
      </c>
      <c r="D64" s="493">
        <f>Trimethoprim!D64</f>
        <v>1045.1500000000001</v>
      </c>
      <c r="E64" s="361">
        <v>1</v>
      </c>
      <c r="F64" s="362">
        <v>75244182</v>
      </c>
      <c r="G64" s="449">
        <f>IF(ISBLANK(F64),"-",(F64/$D$50*$D$47*$B$68)*($B$57/$D$64))</f>
        <v>791.71419807701</v>
      </c>
      <c r="H64" s="369">
        <f t="shared" si="0"/>
        <v>0.98964274759626247</v>
      </c>
    </row>
    <row r="65" spans="1:8" ht="26.25" customHeight="1" x14ac:dyDescent="0.45">
      <c r="A65" s="303" t="s">
        <v>100</v>
      </c>
      <c r="B65" s="304">
        <v>1</v>
      </c>
      <c r="C65" s="491"/>
      <c r="D65" s="494"/>
      <c r="E65" s="364">
        <v>2</v>
      </c>
      <c r="F65" s="316">
        <v>75124988</v>
      </c>
      <c r="G65" s="450">
        <f>IF(ISBLANK(F65),"-",(F65/$D$50*$D$47*$B$68)*($B$57/$D$64))</f>
        <v>790.46004686402216</v>
      </c>
      <c r="H65" s="370">
        <f t="shared" si="0"/>
        <v>0.98807505858002775</v>
      </c>
    </row>
    <row r="66" spans="1:8" ht="26.25" customHeight="1" x14ac:dyDescent="0.45">
      <c r="A66" s="303" t="s">
        <v>101</v>
      </c>
      <c r="B66" s="304">
        <v>1</v>
      </c>
      <c r="C66" s="491"/>
      <c r="D66" s="494"/>
      <c r="E66" s="364">
        <v>3</v>
      </c>
      <c r="F66" s="316">
        <v>75293793</v>
      </c>
      <c r="G66" s="450">
        <f>IF(ISBLANK(F66),"-",(F66/$D$50*$D$47*$B$68)*($B$57/$D$64))</f>
        <v>792.23620166634805</v>
      </c>
      <c r="H66" s="370">
        <f t="shared" si="0"/>
        <v>0.99029525208293512</v>
      </c>
    </row>
    <row r="67" spans="1:8" ht="27" customHeight="1" x14ac:dyDescent="0.45">
      <c r="A67" s="303" t="s">
        <v>102</v>
      </c>
      <c r="B67" s="304">
        <v>1</v>
      </c>
      <c r="C67" s="501"/>
      <c r="D67" s="495"/>
      <c r="E67" s="367">
        <v>4</v>
      </c>
      <c r="F67" s="368"/>
      <c r="G67" s="451" t="str">
        <f>IF(ISBLANK(F67),"-",(F67/$D$50*$D$47*$B$68)*($B$57/$D$64))</f>
        <v>-</v>
      </c>
      <c r="H67" s="371" t="str">
        <f t="shared" si="0"/>
        <v>-</v>
      </c>
    </row>
    <row r="68" spans="1:8" ht="26.25" customHeight="1" x14ac:dyDescent="0.5">
      <c r="A68" s="303" t="s">
        <v>103</v>
      </c>
      <c r="B68" s="372">
        <f>(B67/B66)*(B65/B64)*(B63/B62)*(B61/B60)*B59</f>
        <v>5000</v>
      </c>
      <c r="C68" s="490" t="s">
        <v>104</v>
      </c>
      <c r="D68" s="493">
        <f>Trimethoprim!D68</f>
        <v>1050.6500000000001</v>
      </c>
      <c r="E68" s="361">
        <v>1</v>
      </c>
      <c r="F68" s="362">
        <v>73622925</v>
      </c>
      <c r="G68" s="449">
        <f>IF(ISBLANK(F68),"-",(F68/$D$50*$D$47*$B$68)*($B$57/$D$68))</f>
        <v>770.60023287396973</v>
      </c>
      <c r="H68" s="365">
        <f t="shared" si="0"/>
        <v>0.96325029109246219</v>
      </c>
    </row>
    <row r="69" spans="1:8" ht="27" customHeight="1" x14ac:dyDescent="0.5">
      <c r="A69" s="351" t="s">
        <v>105</v>
      </c>
      <c r="B69" s="373">
        <f>(D47*B68)/B56*B57</f>
        <v>1041.3634999999999</v>
      </c>
      <c r="C69" s="491"/>
      <c r="D69" s="494"/>
      <c r="E69" s="364">
        <v>2</v>
      </c>
      <c r="F69" s="316">
        <v>73572994</v>
      </c>
      <c r="G69" s="450">
        <f>IF(ISBLANK(F69),"-",(F69/$D$50*$D$47*$B$68)*($B$57/$D$68))</f>
        <v>770.07761250500675</v>
      </c>
      <c r="H69" s="365">
        <f t="shared" si="0"/>
        <v>0.96259701563125843</v>
      </c>
    </row>
    <row r="70" spans="1:8" ht="26.25" customHeight="1" x14ac:dyDescent="0.45">
      <c r="A70" s="496" t="s">
        <v>78</v>
      </c>
      <c r="B70" s="497"/>
      <c r="C70" s="491"/>
      <c r="D70" s="494"/>
      <c r="E70" s="364">
        <v>3</v>
      </c>
      <c r="F70" s="316">
        <v>73616137</v>
      </c>
      <c r="G70" s="450">
        <f>IF(ISBLANK(F70),"-",(F70/$D$50*$D$47*$B$68)*($B$57/$D$68))</f>
        <v>770.52918388507453</v>
      </c>
      <c r="H70" s="365">
        <f t="shared" si="0"/>
        <v>0.96316147985634315</v>
      </c>
    </row>
    <row r="71" spans="1:8" ht="27" customHeight="1" x14ac:dyDescent="0.45">
      <c r="A71" s="498"/>
      <c r="B71" s="499"/>
      <c r="C71" s="492"/>
      <c r="D71" s="495"/>
      <c r="E71" s="367">
        <v>4</v>
      </c>
      <c r="F71" s="368"/>
      <c r="G71" s="451" t="str">
        <f>IF(ISBLANK(F71),"-",(F71/$D$50*$D$47*$B$68)*($B$57/$D$68))</f>
        <v>-</v>
      </c>
      <c r="H71" s="374" t="str">
        <f t="shared" si="0"/>
        <v>-</v>
      </c>
    </row>
    <row r="72" spans="1:8" ht="26.25" customHeight="1" x14ac:dyDescent="0.45">
      <c r="A72" s="375"/>
      <c r="B72" s="375"/>
      <c r="C72" s="375"/>
      <c r="D72" s="375"/>
      <c r="E72" s="375"/>
      <c r="F72" s="377" t="s">
        <v>71</v>
      </c>
      <c r="G72" s="456">
        <f>AVERAGE(G60:G71)</f>
        <v>782.55211698987159</v>
      </c>
      <c r="H72" s="378">
        <f>AVERAGE(H60:H71)</f>
        <v>0.97819014623733958</v>
      </c>
    </row>
    <row r="73" spans="1:8" ht="26.25" customHeight="1" x14ac:dyDescent="0.45">
      <c r="C73" s="375"/>
      <c r="D73" s="375"/>
      <c r="E73" s="375"/>
      <c r="F73" s="379" t="s">
        <v>84</v>
      </c>
      <c r="G73" s="452">
        <f>STDEV(G60:G71)/G72</f>
        <v>1.21044264759486E-2</v>
      </c>
      <c r="H73" s="452">
        <f>STDEV(H60:H71)/H72</f>
        <v>1.2104426475948607E-2</v>
      </c>
    </row>
    <row r="74" spans="1:8" ht="27" customHeight="1" x14ac:dyDescent="0.45">
      <c r="A74" s="375"/>
      <c r="B74" s="375"/>
      <c r="C74" s="376"/>
      <c r="D74" s="376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5">
      <c r="A76" s="287" t="s">
        <v>106</v>
      </c>
      <c r="B76" s="383" t="s">
        <v>107</v>
      </c>
      <c r="C76" s="477" t="str">
        <f>B20</f>
        <v xml:space="preserve">Sulfamethoxazole BP </v>
      </c>
      <c r="D76" s="477"/>
      <c r="E76" s="384" t="s">
        <v>108</v>
      </c>
      <c r="F76" s="384"/>
      <c r="G76" s="385">
        <f>H72</f>
        <v>0.97819014623733958</v>
      </c>
      <c r="H76" s="386"/>
    </row>
    <row r="77" spans="1:8" ht="18" x14ac:dyDescent="0.35">
      <c r="A77" s="286" t="s">
        <v>109</v>
      </c>
      <c r="B77" s="286" t="s">
        <v>110</v>
      </c>
    </row>
    <row r="78" spans="1:8" ht="18" x14ac:dyDescent="0.35">
      <c r="A78" s="286"/>
      <c r="B78" s="286"/>
    </row>
    <row r="79" spans="1:8" ht="26.25" customHeight="1" x14ac:dyDescent="0.45">
      <c r="A79" s="287" t="s">
        <v>4</v>
      </c>
      <c r="B79" s="500" t="str">
        <f>B26</f>
        <v>Sulphamethoxazole</v>
      </c>
      <c r="C79" s="500"/>
    </row>
    <row r="80" spans="1:8" ht="26.25" customHeight="1" x14ac:dyDescent="0.45">
      <c r="A80" s="288" t="s">
        <v>48</v>
      </c>
      <c r="B80" s="500" t="str">
        <f>B27</f>
        <v>S12 2</v>
      </c>
      <c r="C80" s="500"/>
    </row>
    <row r="81" spans="1:12" ht="27" customHeight="1" x14ac:dyDescent="0.45">
      <c r="A81" s="288" t="s">
        <v>6</v>
      </c>
      <c r="B81" s="387">
        <f>B28</f>
        <v>99.66</v>
      </c>
    </row>
    <row r="82" spans="1:12" s="14" customFormat="1" ht="27" customHeight="1" x14ac:dyDescent="0.5">
      <c r="A82" s="288" t="s">
        <v>49</v>
      </c>
      <c r="B82" s="290">
        <v>0</v>
      </c>
      <c r="C82" s="479" t="s">
        <v>50</v>
      </c>
      <c r="D82" s="480"/>
      <c r="E82" s="480"/>
      <c r="F82" s="480"/>
      <c r="G82" s="481"/>
      <c r="I82" s="291"/>
      <c r="J82" s="291"/>
      <c r="K82" s="291"/>
      <c r="L82" s="291"/>
    </row>
    <row r="83" spans="1:12" s="14" customFormat="1" ht="19.5" customHeight="1" x14ac:dyDescent="0.35">
      <c r="A83" s="288" t="s">
        <v>51</v>
      </c>
      <c r="B83" s="292">
        <f>B81-B82</f>
        <v>99.66</v>
      </c>
      <c r="C83" s="293"/>
      <c r="D83" s="293"/>
      <c r="E83" s="293"/>
      <c r="F83" s="293"/>
      <c r="G83" s="294"/>
      <c r="I83" s="291"/>
      <c r="J83" s="291"/>
      <c r="K83" s="291"/>
      <c r="L83" s="291"/>
    </row>
    <row r="84" spans="1:12" s="14" customFormat="1" ht="27" customHeight="1" x14ac:dyDescent="0.45">
      <c r="A84" s="288" t="s">
        <v>52</v>
      </c>
      <c r="B84" s="295">
        <v>1</v>
      </c>
      <c r="C84" s="482" t="s">
        <v>111</v>
      </c>
      <c r="D84" s="483"/>
      <c r="E84" s="483"/>
      <c r="F84" s="483"/>
      <c r="G84" s="483"/>
      <c r="H84" s="484"/>
      <c r="I84" s="291"/>
      <c r="J84" s="291"/>
      <c r="K84" s="291"/>
      <c r="L84" s="291"/>
    </row>
    <row r="85" spans="1:12" s="14" customFormat="1" ht="27" customHeight="1" x14ac:dyDescent="0.45">
      <c r="A85" s="288" t="s">
        <v>54</v>
      </c>
      <c r="B85" s="295">
        <v>1</v>
      </c>
      <c r="C85" s="482" t="s">
        <v>112</v>
      </c>
      <c r="D85" s="483"/>
      <c r="E85" s="483"/>
      <c r="F85" s="483"/>
      <c r="G85" s="483"/>
      <c r="H85" s="484"/>
      <c r="I85" s="291"/>
      <c r="J85" s="291"/>
      <c r="K85" s="291"/>
      <c r="L85" s="291"/>
    </row>
    <row r="86" spans="1:12" s="14" customFormat="1" ht="18" x14ac:dyDescent="0.35">
      <c r="A86" s="288"/>
      <c r="B86" s="298"/>
      <c r="C86" s="299"/>
      <c r="D86" s="299"/>
      <c r="E86" s="299"/>
      <c r="F86" s="299"/>
      <c r="G86" s="299"/>
      <c r="H86" s="299"/>
      <c r="I86" s="291"/>
      <c r="J86" s="291"/>
      <c r="K86" s="291"/>
      <c r="L86" s="291"/>
    </row>
    <row r="87" spans="1:12" s="14" customFormat="1" ht="18" x14ac:dyDescent="0.35">
      <c r="A87" s="288" t="s">
        <v>56</v>
      </c>
      <c r="B87" s="300">
        <f>B84/B85</f>
        <v>1</v>
      </c>
      <c r="C87" s="278" t="s">
        <v>57</v>
      </c>
      <c r="D87" s="278"/>
      <c r="E87" s="278"/>
      <c r="F87" s="278"/>
      <c r="G87" s="278"/>
      <c r="I87" s="291"/>
      <c r="J87" s="291"/>
      <c r="K87" s="291"/>
      <c r="L87" s="291"/>
    </row>
    <row r="88" spans="1:12" ht="19.5" customHeight="1" x14ac:dyDescent="0.35">
      <c r="A88" s="286"/>
      <c r="B88" s="286"/>
    </row>
    <row r="89" spans="1:12" ht="27" customHeight="1" x14ac:dyDescent="0.45">
      <c r="A89" s="301" t="s">
        <v>58</v>
      </c>
      <c r="B89" s="302">
        <v>100</v>
      </c>
      <c r="D89" s="388" t="s">
        <v>59</v>
      </c>
      <c r="E89" s="389"/>
      <c r="F89" s="485" t="s">
        <v>60</v>
      </c>
      <c r="G89" s="486"/>
    </row>
    <row r="90" spans="1:12" ht="27" customHeight="1" x14ac:dyDescent="0.45">
      <c r="A90" s="303" t="s">
        <v>61</v>
      </c>
      <c r="B90" s="304">
        <v>1</v>
      </c>
      <c r="C90" s="390" t="s">
        <v>62</v>
      </c>
      <c r="D90" s="306" t="s">
        <v>63</v>
      </c>
      <c r="E90" s="307" t="s">
        <v>64</v>
      </c>
      <c r="F90" s="306" t="s">
        <v>63</v>
      </c>
      <c r="G90" s="391" t="s">
        <v>64</v>
      </c>
      <c r="I90" s="309" t="s">
        <v>65</v>
      </c>
    </row>
    <row r="91" spans="1:12" ht="26.25" customHeight="1" x14ac:dyDescent="0.45">
      <c r="A91" s="303" t="s">
        <v>66</v>
      </c>
      <c r="B91" s="304">
        <v>1</v>
      </c>
      <c r="C91" s="392">
        <v>1</v>
      </c>
      <c r="D91" s="311">
        <v>69829244</v>
      </c>
      <c r="E91" s="312">
        <f>IF(ISBLANK(D91),"-",$D$101/$D$98*D91)</f>
        <v>83544196.628175125</v>
      </c>
      <c r="F91" s="311">
        <v>81647404</v>
      </c>
      <c r="G91" s="313">
        <f>IF(ISBLANK(F91),"-",$D$101/$F$98*F91)</f>
        <v>84727246.836127311</v>
      </c>
      <c r="I91" s="314"/>
    </row>
    <row r="92" spans="1:12" ht="26.25" customHeight="1" x14ac:dyDescent="0.45">
      <c r="A92" s="303" t="s">
        <v>67</v>
      </c>
      <c r="B92" s="304">
        <v>1</v>
      </c>
      <c r="C92" s="376">
        <v>2</v>
      </c>
      <c r="D92" s="316">
        <v>69874879</v>
      </c>
      <c r="E92" s="317">
        <f>IF(ISBLANK(D92),"-",$D$101/$D$98*D92)</f>
        <v>83598794.661817402</v>
      </c>
      <c r="F92" s="316">
        <v>81852751</v>
      </c>
      <c r="G92" s="318">
        <f>IF(ISBLANK(F92),"-",$D$101/$F$98*F92)</f>
        <v>84940339.783406556</v>
      </c>
      <c r="I92" s="487">
        <f>ABS((F96/D96*D95)-F95)/D95</f>
        <v>1.789835893294062E-2</v>
      </c>
    </row>
    <row r="93" spans="1:12" ht="26.25" customHeight="1" x14ac:dyDescent="0.45">
      <c r="A93" s="303" t="s">
        <v>68</v>
      </c>
      <c r="B93" s="304">
        <v>1</v>
      </c>
      <c r="C93" s="376">
        <v>3</v>
      </c>
      <c r="D93" s="316">
        <v>69736026</v>
      </c>
      <c r="E93" s="317">
        <f>IF(ISBLANK(D93),"-",$D$101/$D$98*D93)</f>
        <v>83432669.960046142</v>
      </c>
      <c r="F93" s="316">
        <v>81715694</v>
      </c>
      <c r="G93" s="318">
        <f>IF(ISBLANK(F93),"-",$D$101/$F$98*F93)</f>
        <v>84798112.820873618</v>
      </c>
      <c r="I93" s="487"/>
    </row>
    <row r="94" spans="1:12" ht="27" customHeight="1" x14ac:dyDescent="0.45">
      <c r="A94" s="303" t="s">
        <v>69</v>
      </c>
      <c r="B94" s="304">
        <v>1</v>
      </c>
      <c r="C94" s="393">
        <v>4</v>
      </c>
      <c r="D94" s="321"/>
      <c r="E94" s="322" t="str">
        <f>IF(ISBLANK(D94),"-",$D$101/$D$98*D94)</f>
        <v>-</v>
      </c>
      <c r="F94" s="321"/>
      <c r="G94" s="323" t="str">
        <f>IF(ISBLANK(F94),"-",$D$101/$F$98*F94)</f>
        <v>-</v>
      </c>
      <c r="I94" s="324"/>
    </row>
    <row r="95" spans="1:12" ht="27" customHeight="1" x14ac:dyDescent="0.45">
      <c r="A95" s="303" t="s">
        <v>70</v>
      </c>
      <c r="B95" s="304">
        <v>1</v>
      </c>
      <c r="C95" s="394" t="s">
        <v>71</v>
      </c>
      <c r="D95" s="395">
        <f>AVERAGE(D91:D94)</f>
        <v>69813383</v>
      </c>
      <c r="E95" s="327">
        <f>AVERAGE(E91:E94)</f>
        <v>83525220.416679546</v>
      </c>
      <c r="F95" s="396">
        <f>AVERAGE(F91:F94)</f>
        <v>81738616.333333328</v>
      </c>
      <c r="G95" s="397">
        <f>AVERAGE(G91:G94)</f>
        <v>84821899.813469157</v>
      </c>
    </row>
    <row r="96" spans="1:12" ht="26.25" customHeight="1" x14ac:dyDescent="0.45">
      <c r="A96" s="303" t="s">
        <v>72</v>
      </c>
      <c r="B96" s="289">
        <v>1</v>
      </c>
      <c r="C96" s="398" t="s">
        <v>113</v>
      </c>
      <c r="D96" s="399">
        <f>D43</f>
        <v>14.91</v>
      </c>
      <c r="E96" s="319"/>
      <c r="F96" s="331">
        <f>F43</f>
        <v>17.190000000000001</v>
      </c>
    </row>
    <row r="97" spans="1:10" ht="26.25" customHeight="1" x14ac:dyDescent="0.45">
      <c r="A97" s="303" t="s">
        <v>74</v>
      </c>
      <c r="B97" s="289">
        <v>1</v>
      </c>
      <c r="C97" s="400" t="s">
        <v>114</v>
      </c>
      <c r="D97" s="401">
        <f>D96*$B$87</f>
        <v>14.91</v>
      </c>
      <c r="E97" s="334"/>
      <c r="F97" s="333">
        <f>F96*$B$87</f>
        <v>17.190000000000001</v>
      </c>
    </row>
    <row r="98" spans="1:10" ht="19.5" customHeight="1" x14ac:dyDescent="0.35">
      <c r="A98" s="303" t="s">
        <v>76</v>
      </c>
      <c r="B98" s="402">
        <f>(B97/B96)*(B95/B94)*(B93/B92)*(B91/B90)*B89</f>
        <v>100</v>
      </c>
      <c r="C98" s="400" t="s">
        <v>115</v>
      </c>
      <c r="D98" s="403">
        <f>D97*$B$83/100</f>
        <v>14.859305999999998</v>
      </c>
      <c r="E98" s="337"/>
      <c r="F98" s="336">
        <f>F97*$B$83/100</f>
        <v>17.131554000000001</v>
      </c>
    </row>
    <row r="99" spans="1:10" ht="19.5" customHeight="1" x14ac:dyDescent="0.35">
      <c r="A99" s="473" t="s">
        <v>78</v>
      </c>
      <c r="B99" s="488"/>
      <c r="C99" s="400" t="s">
        <v>116</v>
      </c>
      <c r="D99" s="404">
        <f>D98/$B$98</f>
        <v>0.14859305999999997</v>
      </c>
      <c r="E99" s="337"/>
      <c r="F99" s="340">
        <f>F98/$B$98</f>
        <v>0.17131554000000002</v>
      </c>
      <c r="G99" s="405"/>
      <c r="H99" s="329"/>
    </row>
    <row r="100" spans="1:10" ht="19.5" customHeight="1" x14ac:dyDescent="0.35">
      <c r="A100" s="475"/>
      <c r="B100" s="489"/>
      <c r="C100" s="400" t="s">
        <v>80</v>
      </c>
      <c r="D100" s="406">
        <f>$B$56/$B$116</f>
        <v>0.17777777777777778</v>
      </c>
      <c r="F100" s="345"/>
      <c r="G100" s="407"/>
      <c r="H100" s="329"/>
    </row>
    <row r="101" spans="1:10" ht="18" x14ac:dyDescent="0.35">
      <c r="C101" s="400" t="s">
        <v>81</v>
      </c>
      <c r="D101" s="401">
        <f>D100*$B$98</f>
        <v>17.777777777777779</v>
      </c>
      <c r="F101" s="345"/>
      <c r="G101" s="405"/>
      <c r="H101" s="329"/>
    </row>
    <row r="102" spans="1:10" ht="19.5" customHeight="1" x14ac:dyDescent="0.35">
      <c r="C102" s="408" t="s">
        <v>82</v>
      </c>
      <c r="D102" s="409">
        <f>D101/B34</f>
        <v>17.777777777777779</v>
      </c>
      <c r="F102" s="349"/>
      <c r="G102" s="405"/>
      <c r="H102" s="329"/>
      <c r="J102" s="410"/>
    </row>
    <row r="103" spans="1:10" ht="18" x14ac:dyDescent="0.35">
      <c r="C103" s="411" t="s">
        <v>117</v>
      </c>
      <c r="D103" s="412">
        <f>AVERAGE(E91:E94,G91:G94)</f>
        <v>84173560.115074351</v>
      </c>
      <c r="F103" s="349"/>
      <c r="G103" s="413"/>
      <c r="H103" s="329"/>
      <c r="J103" s="414"/>
    </row>
    <row r="104" spans="1:10" ht="18" x14ac:dyDescent="0.35">
      <c r="C104" s="379" t="s">
        <v>84</v>
      </c>
      <c r="D104" s="415">
        <f>STDEV(E91:E94,G91:G94)/D103</f>
        <v>8.5007203264760162E-3</v>
      </c>
      <c r="F104" s="349"/>
      <c r="G104" s="405"/>
      <c r="H104" s="329"/>
      <c r="J104" s="414"/>
    </row>
    <row r="105" spans="1:10" ht="19.5" customHeight="1" x14ac:dyDescent="0.35">
      <c r="C105" s="381" t="s">
        <v>20</v>
      </c>
      <c r="D105" s="416">
        <f>COUNT(E91:E94,G91:G94)</f>
        <v>6</v>
      </c>
      <c r="F105" s="349"/>
      <c r="G105" s="405"/>
      <c r="H105" s="329"/>
      <c r="J105" s="414"/>
    </row>
    <row r="106" spans="1:10" ht="19.5" customHeight="1" x14ac:dyDescent="0.35">
      <c r="A106" s="353"/>
      <c r="B106" s="353"/>
      <c r="C106" s="353"/>
      <c r="D106" s="353"/>
      <c r="E106" s="353"/>
    </row>
    <row r="107" spans="1:10" ht="26.25" customHeight="1" x14ac:dyDescent="0.45">
      <c r="A107" s="301" t="s">
        <v>118</v>
      </c>
      <c r="B107" s="302">
        <v>900</v>
      </c>
      <c r="C107" s="417" t="s">
        <v>119</v>
      </c>
      <c r="D107" s="418" t="s">
        <v>63</v>
      </c>
      <c r="E107" s="419" t="s">
        <v>120</v>
      </c>
      <c r="F107" s="420" t="s">
        <v>121</v>
      </c>
    </row>
    <row r="108" spans="1:10" ht="26.25" customHeight="1" x14ac:dyDescent="0.45">
      <c r="A108" s="303" t="s">
        <v>122</v>
      </c>
      <c r="B108" s="304">
        <v>5</v>
      </c>
      <c r="C108" s="421">
        <v>1</v>
      </c>
      <c r="D108" s="422">
        <v>73398451</v>
      </c>
      <c r="E108" s="453">
        <f t="shared" ref="E108:E113" si="1">IF(ISBLANK(D108),"-",D108/$D$103*$D$100*$B$116)</f>
        <v>697.5915087793021</v>
      </c>
      <c r="F108" s="423">
        <f t="shared" ref="F108:F113" si="2">IF(ISBLANK(D108), "-", E108/$B$56)</f>
        <v>0.87198938597412767</v>
      </c>
    </row>
    <row r="109" spans="1:10" ht="26.25" customHeight="1" x14ac:dyDescent="0.45">
      <c r="A109" s="303" t="s">
        <v>95</v>
      </c>
      <c r="B109" s="304">
        <v>25</v>
      </c>
      <c r="C109" s="421">
        <v>2</v>
      </c>
      <c r="D109" s="422">
        <v>73336010</v>
      </c>
      <c r="E109" s="454">
        <f t="shared" si="1"/>
        <v>696.99805877039546</v>
      </c>
      <c r="F109" s="424">
        <f t="shared" si="2"/>
        <v>0.87124757346299431</v>
      </c>
    </row>
    <row r="110" spans="1:10" ht="26.25" customHeight="1" x14ac:dyDescent="0.45">
      <c r="A110" s="303" t="s">
        <v>96</v>
      </c>
      <c r="B110" s="304">
        <v>1</v>
      </c>
      <c r="C110" s="421">
        <v>3</v>
      </c>
      <c r="D110" s="422">
        <v>73431042</v>
      </c>
      <c r="E110" s="454">
        <f t="shared" si="1"/>
        <v>697.90125925159236</v>
      </c>
      <c r="F110" s="424">
        <f t="shared" si="2"/>
        <v>0.87237657406449043</v>
      </c>
    </row>
    <row r="111" spans="1:10" ht="26.25" customHeight="1" x14ac:dyDescent="0.45">
      <c r="A111" s="303" t="s">
        <v>97</v>
      </c>
      <c r="B111" s="304">
        <v>1</v>
      </c>
      <c r="C111" s="421">
        <v>4</v>
      </c>
      <c r="D111" s="422">
        <v>73268649</v>
      </c>
      <c r="E111" s="454">
        <f t="shared" si="1"/>
        <v>696.35784823485028</v>
      </c>
      <c r="F111" s="424">
        <f t="shared" si="2"/>
        <v>0.87044731029356281</v>
      </c>
    </row>
    <row r="112" spans="1:10" ht="26.25" customHeight="1" x14ac:dyDescent="0.45">
      <c r="A112" s="303" t="s">
        <v>98</v>
      </c>
      <c r="B112" s="304">
        <v>1</v>
      </c>
      <c r="C112" s="421">
        <v>5</v>
      </c>
      <c r="D112" s="422">
        <v>73429341</v>
      </c>
      <c r="E112" s="454">
        <f t="shared" si="1"/>
        <v>697.88509265488267</v>
      </c>
      <c r="F112" s="424">
        <f t="shared" si="2"/>
        <v>0.87235636581860332</v>
      </c>
    </row>
    <row r="113" spans="1:10" ht="26.25" customHeight="1" x14ac:dyDescent="0.45">
      <c r="A113" s="303" t="s">
        <v>100</v>
      </c>
      <c r="B113" s="304">
        <v>1</v>
      </c>
      <c r="C113" s="425">
        <v>6</v>
      </c>
      <c r="D113" s="426">
        <v>73470232</v>
      </c>
      <c r="E113" s="455">
        <f t="shared" si="1"/>
        <v>698.27372775544484</v>
      </c>
      <c r="F113" s="427">
        <f t="shared" si="2"/>
        <v>0.87284215969430601</v>
      </c>
    </row>
    <row r="114" spans="1:10" ht="26.25" customHeight="1" x14ac:dyDescent="0.45">
      <c r="A114" s="303" t="s">
        <v>101</v>
      </c>
      <c r="B114" s="304">
        <v>1</v>
      </c>
      <c r="C114" s="421"/>
      <c r="D114" s="376"/>
      <c r="E114" s="277"/>
      <c r="F114" s="428"/>
    </row>
    <row r="115" spans="1:10" ht="26.25" customHeight="1" x14ac:dyDescent="0.45">
      <c r="A115" s="303" t="s">
        <v>102</v>
      </c>
      <c r="B115" s="304">
        <v>1</v>
      </c>
      <c r="C115" s="421"/>
      <c r="D115" s="429" t="s">
        <v>71</v>
      </c>
      <c r="E115" s="457">
        <f>AVERAGE(E108:E113)</f>
        <v>697.50124924107797</v>
      </c>
      <c r="F115" s="430">
        <f>AVERAGE(F108:F113)</f>
        <v>0.87187656155134741</v>
      </c>
    </row>
    <row r="116" spans="1:10" ht="27" customHeight="1" x14ac:dyDescent="0.45">
      <c r="A116" s="303" t="s">
        <v>103</v>
      </c>
      <c r="B116" s="335">
        <f>(B115/B114)*(B113/B112)*(B111/B110)*(B109/B108)*B107</f>
        <v>4500</v>
      </c>
      <c r="C116" s="431"/>
      <c r="D116" s="394" t="s">
        <v>84</v>
      </c>
      <c r="E116" s="432">
        <f>STDEV(E108:E113)/E115</f>
        <v>1.0082372965972042E-3</v>
      </c>
      <c r="F116" s="432">
        <f>STDEV(F108:F113)/F115</f>
        <v>1.0082372965972059E-3</v>
      </c>
      <c r="I116" s="277"/>
    </row>
    <row r="117" spans="1:10" ht="27" customHeight="1" x14ac:dyDescent="0.45">
      <c r="A117" s="473" t="s">
        <v>78</v>
      </c>
      <c r="B117" s="474"/>
      <c r="C117" s="433"/>
      <c r="D117" s="434" t="s">
        <v>20</v>
      </c>
      <c r="E117" s="435">
        <f>COUNT(E108:E113)</f>
        <v>6</v>
      </c>
      <c r="F117" s="435">
        <f>COUNT(F108:F113)</f>
        <v>6</v>
      </c>
      <c r="I117" s="277"/>
      <c r="J117" s="414"/>
    </row>
    <row r="118" spans="1:10" ht="19.5" customHeight="1" x14ac:dyDescent="0.35">
      <c r="A118" s="475"/>
      <c r="B118" s="476"/>
      <c r="C118" s="277"/>
      <c r="D118" s="277"/>
      <c r="E118" s="277"/>
      <c r="F118" s="376"/>
      <c r="G118" s="277"/>
      <c r="H118" s="277"/>
      <c r="I118" s="277"/>
    </row>
    <row r="119" spans="1:10" ht="18" x14ac:dyDescent="0.35">
      <c r="A119" s="444"/>
      <c r="B119" s="299"/>
      <c r="C119" s="277"/>
      <c r="D119" s="277"/>
      <c r="E119" s="277"/>
      <c r="F119" s="376"/>
      <c r="G119" s="277"/>
      <c r="H119" s="277"/>
      <c r="I119" s="277"/>
    </row>
    <row r="120" spans="1:10" ht="26.25" customHeight="1" x14ac:dyDescent="0.45">
      <c r="A120" s="287" t="s">
        <v>106</v>
      </c>
      <c r="B120" s="383" t="s">
        <v>123</v>
      </c>
      <c r="C120" s="477" t="str">
        <f>B20</f>
        <v xml:space="preserve">Sulfamethoxazole BP </v>
      </c>
      <c r="D120" s="477"/>
      <c r="E120" s="384" t="s">
        <v>124</v>
      </c>
      <c r="F120" s="384"/>
      <c r="G120" s="385">
        <f>F115</f>
        <v>0.87187656155134741</v>
      </c>
      <c r="H120" s="277"/>
      <c r="I120" s="277"/>
    </row>
    <row r="121" spans="1:10" ht="19.5" customHeight="1" x14ac:dyDescent="0.35">
      <c r="A121" s="436"/>
      <c r="B121" s="436"/>
      <c r="C121" s="437"/>
      <c r="D121" s="437"/>
      <c r="E121" s="437"/>
      <c r="F121" s="437"/>
      <c r="G121" s="437"/>
      <c r="H121" s="437"/>
    </row>
    <row r="122" spans="1:10" ht="18" x14ac:dyDescent="0.35">
      <c r="B122" s="478" t="s">
        <v>26</v>
      </c>
      <c r="C122" s="478"/>
      <c r="E122" s="390" t="s">
        <v>27</v>
      </c>
      <c r="F122" s="438"/>
      <c r="G122" s="478" t="s">
        <v>28</v>
      </c>
      <c r="H122" s="478"/>
    </row>
    <row r="123" spans="1:10" ht="69.900000000000006" customHeight="1" x14ac:dyDescent="0.35">
      <c r="A123" s="439" t="s">
        <v>29</v>
      </c>
      <c r="B123" s="440"/>
      <c r="C123" s="440"/>
      <c r="E123" s="440"/>
      <c r="F123" s="277"/>
      <c r="G123" s="441"/>
      <c r="H123" s="441"/>
    </row>
    <row r="124" spans="1:10" ht="69.900000000000006" customHeight="1" x14ac:dyDescent="0.35">
      <c r="A124" s="439" t="s">
        <v>30</v>
      </c>
      <c r="B124" s="442"/>
      <c r="C124" s="442"/>
      <c r="E124" s="442"/>
      <c r="F124" s="277"/>
      <c r="G124" s="443"/>
      <c r="H124" s="443"/>
    </row>
    <row r="125" spans="1:10" ht="18" x14ac:dyDescent="0.35">
      <c r="A125" s="375"/>
      <c r="B125" s="375"/>
      <c r="C125" s="376"/>
      <c r="D125" s="376"/>
      <c r="E125" s="376"/>
      <c r="F125" s="380"/>
      <c r="G125" s="376"/>
      <c r="H125" s="376"/>
      <c r="I125" s="277"/>
    </row>
    <row r="126" spans="1:10" ht="18" x14ac:dyDescent="0.35">
      <c r="A126" s="375"/>
      <c r="B126" s="375"/>
      <c r="C126" s="376"/>
      <c r="D126" s="376"/>
      <c r="E126" s="376"/>
      <c r="F126" s="380"/>
      <c r="G126" s="376"/>
      <c r="H126" s="376"/>
      <c r="I126" s="277"/>
    </row>
    <row r="127" spans="1:10" ht="18" x14ac:dyDescent="0.35">
      <c r="A127" s="375"/>
      <c r="B127" s="375"/>
      <c r="C127" s="376"/>
      <c r="D127" s="376"/>
      <c r="E127" s="376"/>
      <c r="F127" s="380"/>
      <c r="G127" s="376"/>
      <c r="H127" s="376"/>
      <c r="I127" s="277"/>
    </row>
    <row r="128" spans="1:10" ht="18" x14ac:dyDescent="0.35">
      <c r="A128" s="375"/>
      <c r="B128" s="375"/>
      <c r="C128" s="376"/>
      <c r="D128" s="376"/>
      <c r="E128" s="376"/>
      <c r="F128" s="380"/>
      <c r="G128" s="376"/>
      <c r="H128" s="376"/>
      <c r="I128" s="277"/>
    </row>
    <row r="129" spans="1:9" ht="18" x14ac:dyDescent="0.35">
      <c r="A129" s="375"/>
      <c r="B129" s="375"/>
      <c r="C129" s="376"/>
      <c r="D129" s="376"/>
      <c r="E129" s="376"/>
      <c r="F129" s="380"/>
      <c r="G129" s="376"/>
      <c r="H129" s="376"/>
      <c r="I129" s="277"/>
    </row>
    <row r="130" spans="1:9" ht="18" x14ac:dyDescent="0.35">
      <c r="A130" s="375"/>
      <c r="B130" s="375"/>
      <c r="C130" s="376"/>
      <c r="D130" s="376"/>
      <c r="E130" s="376"/>
      <c r="F130" s="380"/>
      <c r="G130" s="376"/>
      <c r="H130" s="376"/>
      <c r="I130" s="277"/>
    </row>
    <row r="131" spans="1:9" ht="18" x14ac:dyDescent="0.35">
      <c r="A131" s="375"/>
      <c r="B131" s="375"/>
      <c r="C131" s="376"/>
      <c r="D131" s="376"/>
      <c r="E131" s="376"/>
      <c r="F131" s="380"/>
      <c r="G131" s="376"/>
      <c r="H131" s="376"/>
      <c r="I131" s="277"/>
    </row>
    <row r="132" spans="1:9" ht="18" x14ac:dyDescent="0.35">
      <c r="A132" s="375"/>
      <c r="B132" s="375"/>
      <c r="C132" s="376"/>
      <c r="D132" s="376"/>
      <c r="E132" s="376"/>
      <c r="F132" s="380"/>
      <c r="G132" s="376"/>
      <c r="H132" s="376"/>
      <c r="I132" s="277"/>
    </row>
    <row r="133" spans="1:9" ht="18" x14ac:dyDescent="0.35">
      <c r="A133" s="375"/>
      <c r="B133" s="375"/>
      <c r="C133" s="376"/>
      <c r="D133" s="376"/>
      <c r="E133" s="376"/>
      <c r="F133" s="380"/>
      <c r="G133" s="376"/>
      <c r="H133" s="376"/>
      <c r="I133" s="277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</vt:lpstr>
      <vt:lpstr>SST S</vt:lpstr>
      <vt:lpstr>Uniformity</vt:lpstr>
      <vt:lpstr>Trimethoprim</vt:lpstr>
      <vt:lpstr>Sulphamethoxazole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2016-06-25T13:29:58Z</cp:lastPrinted>
  <dcterms:created xsi:type="dcterms:W3CDTF">2005-07-05T10:19:27Z</dcterms:created>
  <dcterms:modified xsi:type="dcterms:W3CDTF">2016-06-25T13:30:15Z</dcterms:modified>
</cp:coreProperties>
</file>