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SST T" sheetId="5" r:id="rId1"/>
    <sheet name="SST S" sheetId="7" r:id="rId2"/>
    <sheet name="Uniformity (2)" sheetId="6" r:id="rId3"/>
    <sheet name="Trimethoprim" sheetId="3" r:id="rId4"/>
    <sheet name="Sulphamethoxazole" sheetId="4" r:id="rId5"/>
  </sheets>
  <externalReferences>
    <externalReference r:id="rId6"/>
  </externalReferences>
  <definedNames>
    <definedName name="_xlnm.Print_Area" localSheetId="4">Sulphamethoxazole!$A$1:$I$125</definedName>
    <definedName name="_xlnm.Print_Area" localSheetId="3">Trimethoprim!$A$1:$I$125</definedName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54" i="7" l="1"/>
  <c r="F52" i="7"/>
  <c r="E52" i="7"/>
  <c r="D52" i="7"/>
  <c r="C52" i="7"/>
  <c r="B52" i="7"/>
  <c r="B53" i="7" s="1"/>
  <c r="B32" i="7"/>
  <c r="F30" i="7"/>
  <c r="E30" i="7"/>
  <c r="D30" i="7"/>
  <c r="C30" i="7"/>
  <c r="B30" i="7"/>
  <c r="B31" i="7" s="1"/>
  <c r="B20" i="7"/>
  <c r="B21" i="7" s="1"/>
  <c r="B57" i="4" l="1"/>
  <c r="B57" i="3"/>
  <c r="C46" i="6"/>
  <c r="D50" i="6" s="1"/>
  <c r="C45" i="6"/>
  <c r="D43" i="6"/>
  <c r="D41" i="6"/>
  <c r="D39" i="6"/>
  <c r="D37" i="6"/>
  <c r="D36" i="6"/>
  <c r="D35" i="6"/>
  <c r="D33" i="6"/>
  <c r="D32" i="6"/>
  <c r="D31" i="6"/>
  <c r="D29" i="6"/>
  <c r="D28" i="6"/>
  <c r="D27" i="6"/>
  <c r="D25" i="6"/>
  <c r="D24" i="6"/>
  <c r="C19" i="6"/>
  <c r="B20" i="5"/>
  <c r="B21" i="5" s="1"/>
  <c r="B23" i="4"/>
  <c r="B22" i="4"/>
  <c r="F96" i="3"/>
  <c r="D96" i="3"/>
  <c r="F96" i="4"/>
  <c r="D96" i="4"/>
  <c r="D68" i="4"/>
  <c r="D64" i="4"/>
  <c r="D6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D97" i="3" l="1"/>
  <c r="D98" i="3" s="1"/>
  <c r="D97" i="4"/>
  <c r="D98" i="4" s="1"/>
  <c r="C49" i="6"/>
  <c r="D40" i="6"/>
  <c r="D49" i="6"/>
  <c r="C50" i="6"/>
  <c r="D26" i="6"/>
  <c r="D30" i="6"/>
  <c r="D34" i="6"/>
  <c r="D38" i="6"/>
  <c r="D42" i="6"/>
  <c r="B49" i="6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F98" i="4"/>
  <c r="E94" i="3"/>
  <c r="F44" i="4"/>
  <c r="F45" i="4" s="1"/>
  <c r="G39" i="4" s="1"/>
  <c r="G92" i="4"/>
  <c r="B69" i="3"/>
  <c r="G94" i="3"/>
  <c r="E41" i="4"/>
  <c r="B69" i="4"/>
  <c r="E40" i="4"/>
  <c r="G93" i="3" l="1"/>
  <c r="E91" i="4"/>
  <c r="E92" i="3"/>
  <c r="E91" i="3"/>
  <c r="E94" i="4"/>
  <c r="G93" i="4"/>
  <c r="D102" i="4"/>
  <c r="E92" i="4"/>
  <c r="E39" i="4"/>
  <c r="E38" i="4"/>
  <c r="E42" i="4" s="1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D103" i="3" l="1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/>
  <c r="H68" i="3" s="1"/>
  <c r="E108" i="3" l="1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<sst xmlns="http://schemas.openxmlformats.org/spreadsheetml/2006/main" count="441" uniqueCount="135">
  <si>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</si>
  <si>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</si>
  <si>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</si>
  <si>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</si>
  <si>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</si>
  <si>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</si>
  <si>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</si>
  <si>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</si>
  <si>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</si>
  <si>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</si>
  <si>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</si>
  <si>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</si>
  <si>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</si>
  <si>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</si>
  <si>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</si>
  <si>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</si>
  <si>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</si>
  <si>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</si>
  <si>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</si>
  <si>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</si>
  <si>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</si>
  <si>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</si>
  <si>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</si>
  <si>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</si>
  <si>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</si>
  <si>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</si>
  <si>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</si>
  <si>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</si>
  <si>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</si>
  <si>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</si>
  <si>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</si>
  <si>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</si>
  <si>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</si>
  <si>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</si>
  <si>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</si>
  <si>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</si>
  <si>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</si>
  <si>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</si>
  <si>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</si>
  <si>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</si>
  <si>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</si>
  <si>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</si>
  <si>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</si>
  <si>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</si>
  <si>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</si>
  <si>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</si>
  <si>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</si>
  <si>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</si>
  <si>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</si>
  <si>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</si>
  <si>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</si>
  <si>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</si>
  <si>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</si>
  <si>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</si>
  <si>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</si>
  <si>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</si>
  <si>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</si>
  <si>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</si>
  <si>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</si>
  <si>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</si>
  <si>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</si>
  <si>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</si>
  <si>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</si>
  <si>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</si>
  <si>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</si>
  <si>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</si>
  <si>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</si>
  <si>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</si>
  <si>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</si>
  <si>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</si>
  <si>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</si>
  <si>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</si>
  <si>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</si>
  <si>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</si>
  <si>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</si>
  <si>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</si>
  <si>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</si>
  <si>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</si>
  <si>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</si>
  <si>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</si>
  <si>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</si>
  <si>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</si>
  <si>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</si>
  <si>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</si>
  <si>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</si>
  <si>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</si>
  <si>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</si>
  <si>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</si>
  <si>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</si>
  <si>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</si>
  <si>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</si>
  <si>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</si>
  <si>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</si>
  <si>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</si>
  <si>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</si>
  <si>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</si>
  <si>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</si>
  <si>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</si>
  <si>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</si>
  <si>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</si>
  <si>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</si>
  <si>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</si>
  <si>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</si>
  <si>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</si>
  <si>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</si>
  <si>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</si>
  <si>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</si>
  <si>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</si>
  <si>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</si>
  <si>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</si>
  <si>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</si>
  <si>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</si>
  <si>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</si>
  <si>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</si>
  <si>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</si>
  <si>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</si>
  <si>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</si>
  <si>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</si>
  <si>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</si>
  <si>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</si>
  <si>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</si>
  <si>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</si>
  <si>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</si>
  <si>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</si>
  <si>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S12 2</t>
  </si>
  <si>
    <t>Trimethoprim</t>
  </si>
  <si>
    <t>T7 2</t>
  </si>
  <si>
    <t xml:space="preserve">Sulfamethoxazole BP </t>
  </si>
  <si>
    <t>Trimethoprim BP</t>
  </si>
  <si>
    <t>NDQB201605927</t>
  </si>
  <si>
    <t>2016-05-13 07:07:01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</si>
  <si>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</si>
  <si>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</si>
  <si>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Same as Assay</t>
  </si>
  <si>
    <t>Resolution between Sulfamethoxazole and Trimethoprim is greater than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</si>
</sst>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2" fillId="2" borderId="0"/>
    <xf numFmtId="0" fontId="30" fillId="2" borderId="0"/>
  </cellStyleXfs>
  <cellXfs count="5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1" fillId="2" borderId="0" xfId="0" applyFont="1" applyFill="1"/>
    <xf numFmtId="0" fontId="25" fillId="2" borderId="0" xfId="1" applyFont="1" applyFill="1"/>
    <xf numFmtId="0" fontId="22" fillId="2" borderId="0" xfId="1" applyFill="1"/>
    <xf numFmtId="0" fontId="26" fillId="2" borderId="0" xfId="1" applyFont="1" applyFill="1" applyAlignment="1">
      <alignment wrapText="1"/>
    </xf>
    <xf numFmtId="0" fontId="27" fillId="2" borderId="0" xfId="1" applyFont="1" applyFill="1"/>
    <xf numFmtId="0" fontId="21" fillId="2" borderId="0" xfId="1" applyFont="1" applyFill="1"/>
    <xf numFmtId="167" fontId="21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right"/>
    </xf>
    <xf numFmtId="167" fontId="21" fillId="2" borderId="0" xfId="1" applyNumberFormat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/>
    <xf numFmtId="164" fontId="25" fillId="2" borderId="0" xfId="1" applyNumberFormat="1" applyFont="1" applyFill="1"/>
    <xf numFmtId="164" fontId="24" fillId="2" borderId="12" xfId="1" applyNumberFormat="1" applyFont="1" applyFill="1" applyBorder="1" applyAlignment="1">
      <alignment horizontal="center" wrapText="1"/>
    </xf>
    <xf numFmtId="0" fontId="24" fillId="2" borderId="12" xfId="1" applyFont="1" applyFill="1" applyBorder="1" applyAlignment="1">
      <alignment horizontal="center" wrapText="1"/>
    </xf>
    <xf numFmtId="0" fontId="23" fillId="2" borderId="0" xfId="1" applyFont="1" applyFill="1" applyAlignment="1">
      <alignment horizontal="center"/>
    </xf>
    <xf numFmtId="2" fontId="21" fillId="3" borderId="14" xfId="1" applyNumberFormat="1" applyFont="1" applyFill="1" applyBorder="1" applyProtection="1">
      <protection locked="0"/>
    </xf>
    <xf numFmtId="10" fontId="21" fillId="2" borderId="13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1" fillId="2" borderId="14" xfId="1" applyNumberFormat="1" applyFont="1" applyFill="1" applyBorder="1" applyAlignment="1">
      <alignment horizontal="center"/>
    </xf>
    <xf numFmtId="2" fontId="21" fillId="3" borderId="15" xfId="1" applyNumberFormat="1" applyFont="1" applyFill="1" applyBorder="1" applyProtection="1">
      <protection locked="0"/>
    </xf>
    <xf numFmtId="10" fontId="21" fillId="2" borderId="15" xfId="1" applyNumberFormat="1" applyFont="1" applyFill="1" applyBorder="1" applyAlignment="1">
      <alignment horizontal="center"/>
    </xf>
    <xf numFmtId="166" fontId="23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0" fontId="21" fillId="2" borderId="12" xfId="1" applyFont="1" applyFill="1" applyBorder="1" applyAlignment="1">
      <alignment horizontal="right" vertical="center"/>
    </xf>
    <xf numFmtId="166" fontId="21" fillId="2" borderId="12" xfId="1" applyNumberFormat="1" applyFont="1" applyFill="1" applyBorder="1" applyAlignment="1">
      <alignment horizontal="center" vertical="center"/>
    </xf>
    <xf numFmtId="166" fontId="21" fillId="2" borderId="0" xfId="1" applyNumberFormat="1" applyFont="1" applyFill="1" applyAlignment="1">
      <alignment horizontal="center"/>
    </xf>
    <xf numFmtId="164" fontId="24" fillId="2" borderId="12" xfId="1" applyNumberFormat="1" applyFont="1" applyFill="1" applyBorder="1" applyAlignment="1">
      <alignment horizontal="center" vertical="center"/>
    </xf>
    <xf numFmtId="2" fontId="29" fillId="2" borderId="0" xfId="1" applyNumberFormat="1" applyFont="1" applyFill="1" applyAlignment="1">
      <alignment horizontal="right"/>
    </xf>
    <xf numFmtId="2" fontId="24" fillId="2" borderId="0" xfId="1" applyNumberFormat="1" applyFont="1" applyFill="1"/>
    <xf numFmtId="2" fontId="29" fillId="2" borderId="0" xfId="1" applyNumberFormat="1" applyFont="1" applyFill="1"/>
    <xf numFmtId="0" fontId="24" fillId="2" borderId="12" xfId="1" applyFont="1" applyFill="1" applyBorder="1" applyAlignment="1">
      <alignment horizontal="center" vertical="center"/>
    </xf>
    <xf numFmtId="10" fontId="23" fillId="2" borderId="0" xfId="1" applyNumberFormat="1" applyFont="1" applyFill="1"/>
    <xf numFmtId="165" fontId="24" fillId="2" borderId="16" xfId="1" applyNumberFormat="1" applyFont="1" applyFill="1" applyBorder="1" applyAlignment="1">
      <alignment horizontal="center"/>
    </xf>
    <xf numFmtId="2" fontId="24" fillId="2" borderId="12" xfId="1" applyNumberFormat="1" applyFont="1" applyFill="1" applyBorder="1" applyAlignment="1">
      <alignment horizontal="center" vertical="center"/>
    </xf>
    <xf numFmtId="165" fontId="24" fillId="2" borderId="17" xfId="1" applyNumberFormat="1" applyFont="1" applyFill="1" applyBorder="1" applyAlignment="1">
      <alignment horizontal="center"/>
    </xf>
    <xf numFmtId="0" fontId="21" fillId="2" borderId="9" xfId="1" applyFont="1" applyFill="1" applyBorder="1"/>
    <xf numFmtId="0" fontId="21" fillId="2" borderId="0" xfId="1" applyFont="1" applyFill="1" applyAlignment="1">
      <alignment horizontal="center"/>
    </xf>
    <xf numFmtId="10" fontId="21" fillId="2" borderId="9" xfId="1" applyNumberFormat="1" applyFont="1" applyFill="1" applyBorder="1"/>
    <xf numFmtId="0" fontId="24" fillId="2" borderId="10" xfId="1" applyFont="1" applyFill="1" applyBorder="1"/>
    <xf numFmtId="0" fontId="24" fillId="2" borderId="1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/>
    </xf>
    <xf numFmtId="0" fontId="21" fillId="2" borderId="7" xfId="1" applyFont="1" applyFill="1" applyBorder="1"/>
    <xf numFmtId="0" fontId="24" fillId="2" borderId="11" xfId="1" applyFont="1" applyFill="1" applyBorder="1"/>
    <xf numFmtId="0" fontId="24" fillId="2" borderId="0" xfId="1" applyFont="1" applyFill="1"/>
    <xf numFmtId="0" fontId="2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24" fillId="2" borderId="13" xfId="1" applyNumberFormat="1" applyFont="1" applyFill="1" applyBorder="1" applyAlignment="1">
      <alignment horizontal="center" vertical="center"/>
    </xf>
    <xf numFmtId="166" fontId="24" fillId="2" borderId="15" xfId="1" applyNumberFormat="1" applyFont="1" applyFill="1" applyBorder="1" applyAlignment="1">
      <alignment horizontal="center" vertical="center"/>
    </xf>
    <xf numFmtId="0" fontId="26" fillId="2" borderId="18" xfId="1" applyFont="1" applyFill="1" applyBorder="1" applyAlignment="1">
      <alignment horizontal="center" wrapText="1"/>
    </xf>
    <xf numFmtId="0" fontId="26" fillId="2" borderId="19" xfId="1" applyFont="1" applyFill="1" applyBorder="1" applyAlignment="1">
      <alignment horizontal="center" wrapText="1"/>
    </xf>
    <xf numFmtId="0" fontId="26" fillId="2" borderId="20" xfId="1" applyFont="1" applyFill="1" applyBorder="1" applyAlignment="1">
      <alignment horizontal="center" wrapText="1"/>
    </xf>
    <xf numFmtId="0" fontId="27" fillId="2" borderId="0" xfId="1" applyFont="1" applyFill="1" applyAlignment="1">
      <alignment horizontal="center"/>
    </xf>
    <xf numFmtId="0" fontId="24" fillId="2" borderId="0" xfId="1" applyFont="1" applyFill="1" applyAlignment="1">
      <alignment horizontal="right"/>
    </xf>
    <xf numFmtId="164" fontId="25" fillId="2" borderId="0" xfId="1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173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173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173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4" xfId="2" applyNumberFormat="1" applyFont="1" applyFill="1" applyBorder="1" applyAlignment="1">
      <alignment horizontal="center"/>
    </xf>
    <xf numFmtId="2" fontId="5" fillId="4" borderId="26" xfId="2" applyNumberFormat="1" applyFont="1" applyFill="1" applyBorder="1" applyAlignment="1">
      <alignment horizontal="center"/>
    </xf>
    <xf numFmtId="2" fontId="5" fillId="4" borderId="59" xfId="2" applyNumberFormat="1" applyFont="1" applyFill="1" applyBorder="1" applyAlignment="1">
      <alignment horizontal="center"/>
    </xf>
    <xf numFmtId="2" fontId="5" fillId="4" borderId="6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2" xfId="2" applyNumberFormat="1" applyFont="1" applyFill="1" applyBorder="1" applyAlignment="1">
      <alignment horizontal="center"/>
    </xf>
    <xf numFmtId="165" fontId="5" fillId="2" borderId="61" xfId="2" applyNumberFormat="1" applyFont="1" applyFill="1" applyBorder="1" applyAlignment="1">
      <alignment horizontal="center"/>
    </xf>
    <xf numFmtId="165" fontId="5" fillId="2" borderId="62" xfId="2" applyNumberFormat="1" applyFont="1" applyFill="1" applyBorder="1" applyAlignment="1">
      <alignment horizontal="center"/>
    </xf>
    <xf numFmtId="0" fontId="6" fillId="2" borderId="62" xfId="2" applyFont="1" applyFill="1" applyBorder="1"/>
    <xf numFmtId="0" fontId="6" fillId="2" borderId="63" xfId="2" applyFont="1" applyFill="1" applyBorder="1"/>
    <xf numFmtId="0" fontId="6" fillId="2" borderId="5" xfId="2" applyFont="1" applyFill="1" applyBorder="1"/>
    <xf numFmtId="0" fontId="5" fillId="4" borderId="2" xfId="2" applyFont="1" applyFill="1" applyBorder="1" applyAlignment="1">
      <alignment horizontal="center"/>
    </xf>
    <xf numFmtId="0" fontId="5" fillId="2" borderId="64" xfId="2" applyFont="1" applyFill="1" applyBorder="1" applyAlignment="1">
      <alignment horizontal="center"/>
    </xf>
    <xf numFmtId="0" fontId="6" fillId="2" borderId="65" xfId="2" applyFont="1" applyFill="1" applyBorder="1"/>
    <xf numFmtId="0" fontId="6" fillId="2" borderId="66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30" fillId="2" borderId="0" xfId="2" applyFill="1"/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vertical="center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B22" sqref="B22"/>
    </sheetView>
  </sheetViews>
  <sheetFormatPr defaultColWidth="9.109375" defaultRowHeight="13.8" x14ac:dyDescent="0.3"/>
  <cols>
    <col min="1" max="1" width="27.5546875" style="353" customWidth="1"/>
    <col min="2" max="2" width="20.44140625" style="353" customWidth="1"/>
    <col min="3" max="3" width="31.88671875" style="353" customWidth="1"/>
    <col min="4" max="4" width="25.88671875" style="353" customWidth="1"/>
    <col min="5" max="5" width="25.6640625" style="353" customWidth="1"/>
    <col min="6" max="6" width="23.109375" style="353" customWidth="1"/>
    <col min="7" max="7" width="28.44140625" style="353" customWidth="1"/>
    <col min="8" max="8" width="21.5546875" style="353" customWidth="1"/>
    <col min="9" max="9" width="9.109375" style="353" customWidth="1"/>
    <col min="10" max="16384" width="9.109375" style="3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">
        <v>5</v>
      </c>
      <c r="D17" s="5"/>
      <c r="E17" s="41"/>
    </row>
    <row r="18" spans="1:5" ht="16.5" customHeight="1" x14ac:dyDescent="0.3">
      <c r="A18" s="43" t="s">
        <v>4</v>
      </c>
      <c r="B18" s="407" t="s">
        <v>125</v>
      </c>
      <c r="C18" s="41"/>
      <c r="D18" s="41"/>
      <c r="E18" s="41"/>
    </row>
    <row r="19" spans="1:5" ht="16.5" customHeight="1" x14ac:dyDescent="0.3">
      <c r="A19" s="43" t="s">
        <v>6</v>
      </c>
      <c r="B19" s="6">
        <v>99.58</v>
      </c>
      <c r="C19" s="41"/>
      <c r="D19" s="41"/>
      <c r="E19" s="41"/>
    </row>
    <row r="20" spans="1:5" ht="16.5" customHeight="1" x14ac:dyDescent="0.3">
      <c r="A20" s="4" t="s">
        <v>7</v>
      </c>
      <c r="B20" s="6">
        <f>Trimethoprim!D43</f>
        <v>17.14</v>
      </c>
      <c r="C20" s="41"/>
      <c r="D20" s="41"/>
      <c r="E20" s="41"/>
    </row>
    <row r="21" spans="1:5" ht="16.5" customHeight="1" x14ac:dyDescent="0.3">
      <c r="A21" s="4" t="s">
        <v>9</v>
      </c>
      <c r="B21" s="7">
        <f>B20/20*4/100</f>
        <v>3.4279999999999998E-2</v>
      </c>
      <c r="C21" s="41"/>
      <c r="D21" s="41"/>
      <c r="E21" s="41"/>
    </row>
    <row r="22" spans="1:5" ht="15.75" customHeight="1" x14ac:dyDescent="0.3">
      <c r="A22" s="41"/>
      <c r="B22" s="41"/>
      <c r="C22" s="41"/>
      <c r="D22" s="41"/>
      <c r="E22" s="41"/>
    </row>
    <row r="23" spans="1:5" ht="16.5" customHeight="1" x14ac:dyDescent="0.3">
      <c r="A23" s="10" t="s">
        <v>11</v>
      </c>
      <c r="B23" s="9" t="s">
        <v>12</v>
      </c>
      <c r="C23" s="10" t="s">
        <v>13</v>
      </c>
      <c r="D23" s="10" t="s">
        <v>14</v>
      </c>
      <c r="E23" s="10" t="s">
        <v>15</v>
      </c>
    </row>
    <row r="24" spans="1:5" ht="16.5" customHeight="1" x14ac:dyDescent="0.3">
      <c r="A24" s="11">
        <v>1</v>
      </c>
      <c r="B24" s="12">
        <v>5905625</v>
      </c>
      <c r="C24" s="12">
        <v>5617.8</v>
      </c>
      <c r="D24" s="13">
        <v>1.1000000000000001</v>
      </c>
      <c r="E24" s="14">
        <v>2.7</v>
      </c>
    </row>
    <row r="25" spans="1:5" ht="16.5" customHeight="1" x14ac:dyDescent="0.3">
      <c r="A25" s="11">
        <v>2</v>
      </c>
      <c r="B25" s="12">
        <v>5908266</v>
      </c>
      <c r="C25" s="12">
        <v>5583.4</v>
      </c>
      <c r="D25" s="13">
        <v>1.1000000000000001</v>
      </c>
      <c r="E25" s="13">
        <v>2.7</v>
      </c>
    </row>
    <row r="26" spans="1:5" ht="16.5" customHeight="1" x14ac:dyDescent="0.3">
      <c r="A26" s="11">
        <v>3</v>
      </c>
      <c r="B26" s="12">
        <v>5906735</v>
      </c>
      <c r="C26" s="12">
        <v>5562.3</v>
      </c>
      <c r="D26" s="13">
        <v>1.1000000000000001</v>
      </c>
      <c r="E26" s="13">
        <v>2.7</v>
      </c>
    </row>
    <row r="27" spans="1:5" ht="16.5" customHeight="1" x14ac:dyDescent="0.3">
      <c r="A27" s="11">
        <v>4</v>
      </c>
      <c r="B27" s="12">
        <v>5890173</v>
      </c>
      <c r="C27" s="12">
        <v>5551.8</v>
      </c>
      <c r="D27" s="13">
        <v>1.1000000000000001</v>
      </c>
      <c r="E27" s="13">
        <v>2.7</v>
      </c>
    </row>
    <row r="28" spans="1:5" ht="16.5" customHeight="1" x14ac:dyDescent="0.3">
      <c r="A28" s="11">
        <v>5</v>
      </c>
      <c r="B28" s="12">
        <v>5901464</v>
      </c>
      <c r="C28" s="12">
        <v>5545.3</v>
      </c>
      <c r="D28" s="13">
        <v>1.1000000000000001</v>
      </c>
      <c r="E28" s="13">
        <v>2.7</v>
      </c>
    </row>
    <row r="29" spans="1:5" ht="16.5" customHeight="1" x14ac:dyDescent="0.3">
      <c r="A29" s="11">
        <v>6</v>
      </c>
      <c r="B29" s="15">
        <v>5901180</v>
      </c>
      <c r="C29" s="15">
        <v>5537.5</v>
      </c>
      <c r="D29" s="16">
        <v>1.1000000000000001</v>
      </c>
      <c r="E29" s="16">
        <v>2.7</v>
      </c>
    </row>
    <row r="30" spans="1:5" ht="16.5" customHeight="1" x14ac:dyDescent="0.3">
      <c r="A30" s="17" t="s">
        <v>16</v>
      </c>
      <c r="B30" s="18">
        <f>AVERAGE(B24:B29)</f>
        <v>5902240.5</v>
      </c>
      <c r="C30" s="19">
        <f>AVERAGE(C24:C29)</f>
        <v>5566.3499999999995</v>
      </c>
      <c r="D30" s="20">
        <f>AVERAGE(D24:D29)</f>
        <v>1.0999999999999999</v>
      </c>
      <c r="E30" s="20">
        <f>AVERAGE(E24:E29)</f>
        <v>2.6999999999999997</v>
      </c>
    </row>
    <row r="31" spans="1:5" ht="16.5" customHeight="1" x14ac:dyDescent="0.3">
      <c r="A31" s="21" t="s">
        <v>17</v>
      </c>
      <c r="B31" s="22">
        <f>(STDEV(B24:B29)/B30)</f>
        <v>1.1118198453760712E-3</v>
      </c>
      <c r="C31" s="23"/>
      <c r="D31" s="23"/>
      <c r="E31" s="24"/>
    </row>
    <row r="32" spans="1:5" s="353" customFormat="1" ht="16.5" customHeight="1" x14ac:dyDescent="0.3">
      <c r="A32" s="25" t="s">
        <v>18</v>
      </c>
      <c r="B32" s="26">
        <f>COUNT(B24:B29)</f>
        <v>6</v>
      </c>
      <c r="C32" s="27"/>
      <c r="D32" s="42"/>
      <c r="E32" s="28"/>
    </row>
    <row r="33" spans="1:5" s="353" customFormat="1" ht="15.75" customHeight="1" x14ac:dyDescent="0.3">
      <c r="A33" s="41"/>
      <c r="B33" s="41"/>
      <c r="C33" s="41"/>
      <c r="D33" s="41"/>
      <c r="E33" s="41"/>
    </row>
    <row r="34" spans="1:5" s="353" customFormat="1" ht="16.5" customHeight="1" x14ac:dyDescent="0.3">
      <c r="A34" s="43" t="s">
        <v>19</v>
      </c>
      <c r="B34" s="30" t="s">
        <v>20</v>
      </c>
      <c r="C34" s="29"/>
      <c r="D34" s="29"/>
      <c r="E34" s="29"/>
    </row>
    <row r="35" spans="1:5" ht="16.5" customHeight="1" x14ac:dyDescent="0.3">
      <c r="A35" s="43"/>
      <c r="B35" s="30" t="s">
        <v>21</v>
      </c>
      <c r="C35" s="29"/>
      <c r="D35" s="29"/>
      <c r="E35" s="29"/>
    </row>
    <row r="36" spans="1:5" ht="16.5" customHeight="1" x14ac:dyDescent="0.3">
      <c r="A36" s="43"/>
      <c r="B36" s="30" t="s">
        <v>22</v>
      </c>
      <c r="C36" s="29"/>
      <c r="D36" s="29"/>
      <c r="E36" s="29"/>
    </row>
    <row r="37" spans="1:5" ht="15.75" customHeight="1" x14ac:dyDescent="0.3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23</v>
      </c>
    </row>
    <row r="39" spans="1:5" ht="16.5" customHeight="1" x14ac:dyDescent="0.3">
      <c r="A39" s="43" t="s">
        <v>4</v>
      </c>
      <c r="B39" s="4"/>
      <c r="C39" s="41"/>
      <c r="D39" s="41"/>
      <c r="E39" s="41"/>
    </row>
    <row r="40" spans="1:5" ht="16.5" customHeight="1" x14ac:dyDescent="0.3">
      <c r="A40" s="43" t="s">
        <v>6</v>
      </c>
      <c r="B40" s="6"/>
      <c r="C40" s="41"/>
      <c r="D40" s="41"/>
      <c r="E40" s="41"/>
    </row>
    <row r="41" spans="1:5" ht="16.5" customHeight="1" x14ac:dyDescent="0.3">
      <c r="A41" s="4" t="s">
        <v>7</v>
      </c>
      <c r="B41" s="6"/>
      <c r="C41" s="41"/>
      <c r="D41" s="41"/>
      <c r="E41" s="41"/>
    </row>
    <row r="42" spans="1:5" ht="16.5" customHeight="1" x14ac:dyDescent="0.3">
      <c r="A42" s="4" t="s">
        <v>9</v>
      </c>
      <c r="B42" s="7"/>
      <c r="C42" s="41"/>
      <c r="D42" s="41"/>
      <c r="E42" s="41"/>
    </row>
    <row r="43" spans="1:5" ht="15.75" customHeight="1" x14ac:dyDescent="0.3">
      <c r="A43" s="41"/>
      <c r="B43" s="41"/>
      <c r="C43" s="41"/>
      <c r="D43" s="41"/>
      <c r="E43" s="41"/>
    </row>
    <row r="44" spans="1:5" ht="16.5" customHeight="1" x14ac:dyDescent="0.3">
      <c r="A44" s="10" t="s">
        <v>11</v>
      </c>
      <c r="B44" s="9" t="s">
        <v>12</v>
      </c>
      <c r="C44" s="10" t="s">
        <v>13</v>
      </c>
      <c r="D44" s="10" t="s">
        <v>14</v>
      </c>
      <c r="E44" s="10" t="s">
        <v>15</v>
      </c>
    </row>
    <row r="45" spans="1:5" ht="16.5" customHeight="1" x14ac:dyDescent="0.3">
      <c r="A45" s="11">
        <v>1</v>
      </c>
      <c r="B45" s="12">
        <v>5905625</v>
      </c>
      <c r="C45" s="12">
        <v>5617.8</v>
      </c>
      <c r="D45" s="13">
        <v>1.1000000000000001</v>
      </c>
      <c r="E45" s="14">
        <v>2.7</v>
      </c>
    </row>
    <row r="46" spans="1:5" ht="16.5" customHeight="1" x14ac:dyDescent="0.3">
      <c r="A46" s="11">
        <v>2</v>
      </c>
      <c r="B46" s="12">
        <v>5908266</v>
      </c>
      <c r="C46" s="12">
        <v>5583.4</v>
      </c>
      <c r="D46" s="13">
        <v>1.1000000000000001</v>
      </c>
      <c r="E46" s="13">
        <v>2.7</v>
      </c>
    </row>
    <row r="47" spans="1:5" ht="16.5" customHeight="1" x14ac:dyDescent="0.3">
      <c r="A47" s="11">
        <v>3</v>
      </c>
      <c r="B47" s="12">
        <v>5906735</v>
      </c>
      <c r="C47" s="12">
        <v>5562.3</v>
      </c>
      <c r="D47" s="13">
        <v>1.1000000000000001</v>
      </c>
      <c r="E47" s="13">
        <v>2.7</v>
      </c>
    </row>
    <row r="48" spans="1:5" ht="16.5" customHeight="1" x14ac:dyDescent="0.3">
      <c r="A48" s="11">
        <v>4</v>
      </c>
      <c r="B48" s="12">
        <v>5890173</v>
      </c>
      <c r="C48" s="12">
        <v>5551.8</v>
      </c>
      <c r="D48" s="13">
        <v>1.1000000000000001</v>
      </c>
      <c r="E48" s="13">
        <v>2.7</v>
      </c>
    </row>
    <row r="49" spans="1:7" ht="16.5" customHeight="1" x14ac:dyDescent="0.3">
      <c r="A49" s="11">
        <v>5</v>
      </c>
      <c r="B49" s="12">
        <v>5901464</v>
      </c>
      <c r="C49" s="12">
        <v>5545.3</v>
      </c>
      <c r="D49" s="13">
        <v>1.1000000000000001</v>
      </c>
      <c r="E49" s="13">
        <v>2.7</v>
      </c>
    </row>
    <row r="50" spans="1:7" ht="16.5" customHeight="1" x14ac:dyDescent="0.3">
      <c r="A50" s="11">
        <v>6</v>
      </c>
      <c r="B50" s="15">
        <v>5901180</v>
      </c>
      <c r="C50" s="15">
        <v>5537.5</v>
      </c>
      <c r="D50" s="16">
        <v>1.1000000000000001</v>
      </c>
      <c r="E50" s="16">
        <v>2.7</v>
      </c>
    </row>
    <row r="51" spans="1:7" ht="16.5" customHeight="1" x14ac:dyDescent="0.3">
      <c r="A51" s="17" t="s">
        <v>16</v>
      </c>
      <c r="B51" s="18">
        <f>AVERAGE(B45:B50)</f>
        <v>5902240.5</v>
      </c>
      <c r="C51" s="19">
        <f>AVERAGE(C45:C50)</f>
        <v>5566.3499999999995</v>
      </c>
      <c r="D51" s="20">
        <f>AVERAGE(D45:D50)</f>
        <v>1.0999999999999999</v>
      </c>
      <c r="E51" s="20">
        <f>AVERAGE(E45:E50)</f>
        <v>2.6999999999999997</v>
      </c>
    </row>
    <row r="52" spans="1:7" ht="16.5" customHeight="1" x14ac:dyDescent="0.3">
      <c r="A52" s="21" t="s">
        <v>17</v>
      </c>
      <c r="B52" s="22">
        <f>(STDEV(B45:B50)/B51)</f>
        <v>1.1118198453760712E-3</v>
      </c>
      <c r="C52" s="23"/>
      <c r="D52" s="23"/>
      <c r="E52" s="24"/>
    </row>
    <row r="53" spans="1:7" s="353" customFormat="1" ht="16.5" customHeight="1" x14ac:dyDescent="0.3">
      <c r="A53" s="25" t="s">
        <v>18</v>
      </c>
      <c r="B53" s="26">
        <f>COUNT(B45:B50)</f>
        <v>6</v>
      </c>
      <c r="C53" s="27"/>
      <c r="D53" s="42"/>
      <c r="E53" s="28"/>
    </row>
    <row r="54" spans="1:7" s="353" customFormat="1" ht="15.75" customHeight="1" x14ac:dyDescent="0.3">
      <c r="A54" s="41"/>
      <c r="B54" s="41"/>
      <c r="C54" s="41"/>
      <c r="D54" s="41"/>
      <c r="E54" s="41"/>
    </row>
    <row r="55" spans="1:7" s="353" customFormat="1" ht="16.5" customHeight="1" x14ac:dyDescent="0.3">
      <c r="A55" s="43" t="s">
        <v>19</v>
      </c>
      <c r="B55" s="30" t="s">
        <v>20</v>
      </c>
      <c r="C55" s="29"/>
      <c r="D55" s="29"/>
      <c r="E55" s="29"/>
    </row>
    <row r="56" spans="1:7" ht="16.5" customHeight="1" x14ac:dyDescent="0.3">
      <c r="A56" s="43"/>
      <c r="B56" s="30" t="s">
        <v>21</v>
      </c>
      <c r="C56" s="29"/>
      <c r="D56" s="29"/>
      <c r="E56" s="29"/>
    </row>
    <row r="57" spans="1:7" ht="16.5" customHeight="1" x14ac:dyDescent="0.3">
      <c r="A57" s="43"/>
      <c r="B57" s="30" t="s">
        <v>22</v>
      </c>
      <c r="C57" s="29"/>
      <c r="D57" s="29"/>
      <c r="E57" s="29"/>
    </row>
    <row r="58" spans="1:7" ht="14.25" customHeight="1" thickBot="1" x14ac:dyDescent="0.35">
      <c r="A58" s="31"/>
      <c r="B58" s="277"/>
      <c r="D58" s="32"/>
      <c r="F58" s="33"/>
      <c r="G58" s="33"/>
    </row>
    <row r="59" spans="1:7" ht="15" customHeight="1" x14ac:dyDescent="0.3">
      <c r="B59" s="453" t="s">
        <v>24</v>
      </c>
      <c r="C59" s="453"/>
      <c r="E59" s="34" t="s">
        <v>25</v>
      </c>
      <c r="F59" s="35"/>
      <c r="G59" s="34" t="s">
        <v>26</v>
      </c>
    </row>
    <row r="60" spans="1:7" ht="15" customHeight="1" x14ac:dyDescent="0.3">
      <c r="A60" s="36" t="s">
        <v>27</v>
      </c>
      <c r="B60" s="37"/>
      <c r="C60" s="37"/>
      <c r="E60" s="37"/>
      <c r="G60" s="37"/>
    </row>
    <row r="61" spans="1:7" ht="15" customHeight="1" x14ac:dyDescent="0.3">
      <c r="A61" s="36" t="s">
        <v>28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workbookViewId="0">
      <selection activeCell="E20" sqref="E20"/>
    </sheetView>
  </sheetViews>
  <sheetFormatPr defaultRowHeight="13.8" x14ac:dyDescent="0.3"/>
  <cols>
    <col min="1" max="1" width="27.5546875" style="502" customWidth="1"/>
    <col min="2" max="2" width="20.44140625" style="502" customWidth="1"/>
    <col min="3" max="3" width="31.88671875" style="502" customWidth="1"/>
    <col min="4" max="4" width="25.88671875" style="502" customWidth="1"/>
    <col min="5" max="5" width="25.6640625" style="502" customWidth="1"/>
    <col min="6" max="6" width="23.109375" style="502" customWidth="1"/>
    <col min="7" max="7" width="28.44140625" style="502" customWidth="1"/>
    <col min="8" max="8" width="21.5546875" style="502" customWidth="1"/>
    <col min="9" max="9" width="9.109375" style="502" customWidth="1"/>
    <col min="10" max="16384" width="8.88671875" style="543"/>
  </cols>
  <sheetData>
    <row r="14" spans="1:6" ht="15" customHeight="1" x14ac:dyDescent="0.3">
      <c r="A14" s="501"/>
      <c r="C14" s="503"/>
      <c r="F14" s="503"/>
    </row>
    <row r="15" spans="1:6" ht="18.75" customHeight="1" x14ac:dyDescent="0.35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505" t="s">
        <v>1</v>
      </c>
      <c r="B16" s="506" t="s">
        <v>2</v>
      </c>
    </row>
    <row r="17" spans="1:6" ht="16.5" customHeight="1" x14ac:dyDescent="0.3">
      <c r="A17" s="507" t="s">
        <v>3</v>
      </c>
      <c r="B17" s="507" t="s">
        <v>5</v>
      </c>
      <c r="D17" s="508"/>
      <c r="E17" s="509"/>
    </row>
    <row r="18" spans="1:6" ht="16.5" customHeight="1" x14ac:dyDescent="0.3">
      <c r="A18" s="510" t="s">
        <v>4</v>
      </c>
      <c r="B18" s="510" t="s">
        <v>123</v>
      </c>
      <c r="C18" s="509"/>
      <c r="D18" s="509"/>
      <c r="E18" s="509"/>
    </row>
    <row r="19" spans="1:6" ht="16.5" customHeight="1" x14ac:dyDescent="0.3">
      <c r="A19" s="510" t="s">
        <v>6</v>
      </c>
      <c r="B19" s="511">
        <v>99.66</v>
      </c>
      <c r="C19" s="509"/>
      <c r="D19" s="509"/>
      <c r="E19" s="509"/>
    </row>
    <row r="20" spans="1:6" ht="16.5" customHeight="1" x14ac:dyDescent="0.3">
      <c r="A20" s="507" t="s">
        <v>7</v>
      </c>
      <c r="B20" s="511">
        <f>[1]Sulphamethoxazole!D43</f>
        <v>14.91</v>
      </c>
      <c r="C20" s="509"/>
      <c r="D20" s="509"/>
      <c r="E20" s="509"/>
    </row>
    <row r="21" spans="1:6" ht="16.5" customHeight="1" x14ac:dyDescent="0.3">
      <c r="A21" s="507" t="s">
        <v>9</v>
      </c>
      <c r="B21" s="512">
        <f>B20/100</f>
        <v>0.14910000000000001</v>
      </c>
      <c r="C21" s="509"/>
      <c r="D21" s="509"/>
      <c r="E21" s="509"/>
    </row>
    <row r="22" spans="1:6" ht="15.75" customHeight="1" x14ac:dyDescent="0.3">
      <c r="A22" s="509"/>
      <c r="B22" s="509"/>
      <c r="C22" s="509"/>
      <c r="D22" s="509"/>
      <c r="E22" s="509"/>
    </row>
    <row r="23" spans="1:6" ht="16.5" customHeight="1" x14ac:dyDescent="0.3">
      <c r="A23" s="513" t="s">
        <v>11</v>
      </c>
      <c r="B23" s="514" t="s">
        <v>12</v>
      </c>
      <c r="C23" s="513" t="s">
        <v>13</v>
      </c>
      <c r="D23" s="513" t="s">
        <v>14</v>
      </c>
      <c r="E23" s="513" t="s">
        <v>15</v>
      </c>
      <c r="F23" s="513" t="s">
        <v>131</v>
      </c>
    </row>
    <row r="24" spans="1:6" ht="16.5" customHeight="1" x14ac:dyDescent="0.3">
      <c r="A24" s="515">
        <v>1</v>
      </c>
      <c r="B24" s="516">
        <v>69569524</v>
      </c>
      <c r="C24" s="517">
        <v>7042.2</v>
      </c>
      <c r="D24" s="518">
        <v>0.9</v>
      </c>
      <c r="E24" s="519">
        <v>4.9000000000000004</v>
      </c>
      <c r="F24" s="520">
        <v>11.9</v>
      </c>
    </row>
    <row r="25" spans="1:6" ht="16.5" customHeight="1" x14ac:dyDescent="0.3">
      <c r="A25" s="515">
        <v>2</v>
      </c>
      <c r="B25" s="516">
        <v>69624354</v>
      </c>
      <c r="C25" s="517">
        <v>7034</v>
      </c>
      <c r="D25" s="518">
        <v>0.9</v>
      </c>
      <c r="E25" s="518">
        <v>4.9000000000000004</v>
      </c>
      <c r="F25" s="517">
        <v>11.9</v>
      </c>
    </row>
    <row r="26" spans="1:6" ht="16.5" customHeight="1" x14ac:dyDescent="0.3">
      <c r="A26" s="515">
        <v>3</v>
      </c>
      <c r="B26" s="516">
        <v>69636728</v>
      </c>
      <c r="C26" s="517">
        <v>6958.8</v>
      </c>
      <c r="D26" s="518">
        <v>0.9</v>
      </c>
      <c r="E26" s="518">
        <v>4.9000000000000004</v>
      </c>
      <c r="F26" s="517">
        <v>11.8</v>
      </c>
    </row>
    <row r="27" spans="1:6" ht="16.5" customHeight="1" x14ac:dyDescent="0.3">
      <c r="A27" s="515">
        <v>4</v>
      </c>
      <c r="B27" s="516">
        <v>69494888</v>
      </c>
      <c r="C27" s="517">
        <v>6932.7</v>
      </c>
      <c r="D27" s="518">
        <v>0.9</v>
      </c>
      <c r="E27" s="518">
        <v>4.9000000000000004</v>
      </c>
      <c r="F27" s="517">
        <v>11.8</v>
      </c>
    </row>
    <row r="28" spans="1:6" ht="16.5" customHeight="1" x14ac:dyDescent="0.3">
      <c r="A28" s="515">
        <v>5</v>
      </c>
      <c r="B28" s="516">
        <v>69643567</v>
      </c>
      <c r="C28" s="517">
        <v>6929</v>
      </c>
      <c r="D28" s="518">
        <v>0.9</v>
      </c>
      <c r="E28" s="518">
        <v>4.9000000000000004</v>
      </c>
      <c r="F28" s="517">
        <v>11.8</v>
      </c>
    </row>
    <row r="29" spans="1:6" ht="16.5" customHeight="1" x14ac:dyDescent="0.3">
      <c r="A29" s="515">
        <v>6</v>
      </c>
      <c r="B29" s="521">
        <v>69669073</v>
      </c>
      <c r="C29" s="522">
        <v>6916.5</v>
      </c>
      <c r="D29" s="523">
        <v>0.9</v>
      </c>
      <c r="E29" s="518">
        <v>4.9000000000000004</v>
      </c>
      <c r="F29" s="517">
        <v>11.8</v>
      </c>
    </row>
    <row r="30" spans="1:6" ht="16.5" customHeight="1" x14ac:dyDescent="0.3">
      <c r="A30" s="524" t="s">
        <v>16</v>
      </c>
      <c r="B30" s="525">
        <f>AVERAGE(B24:B29)</f>
        <v>69606355.666666672</v>
      </c>
      <c r="C30" s="526">
        <f>AVERAGE(C24:C29)</f>
        <v>6968.8666666666659</v>
      </c>
      <c r="D30" s="527">
        <f>AVERAGE(D24:D29)</f>
        <v>0.9</v>
      </c>
      <c r="E30" s="528">
        <f>AVERAGE(E24:E29)</f>
        <v>4.8999999999999995</v>
      </c>
      <c r="F30" s="529">
        <f>AVERAGE(F24:F29)</f>
        <v>11.833333333333334</v>
      </c>
    </row>
    <row r="31" spans="1:6" ht="16.5" customHeight="1" x14ac:dyDescent="0.3">
      <c r="A31" s="530" t="s">
        <v>17</v>
      </c>
      <c r="B31" s="531">
        <f>(STDEV(B24:B29)/B30)</f>
        <v>9.1644735892053037E-4</v>
      </c>
      <c r="C31" s="532"/>
      <c r="D31" s="533"/>
      <c r="E31" s="534"/>
      <c r="F31" s="535"/>
    </row>
    <row r="32" spans="1:6" s="502" customFormat="1" ht="16.5" customHeight="1" x14ac:dyDescent="0.3">
      <c r="A32" s="536" t="s">
        <v>18</v>
      </c>
      <c r="B32" s="537">
        <f>COUNT(B24:B29)</f>
        <v>6</v>
      </c>
      <c r="C32" s="538"/>
      <c r="D32" s="539"/>
      <c r="E32" s="539"/>
      <c r="F32" s="540"/>
    </row>
    <row r="33" spans="1:6" s="502" customFormat="1" ht="15.75" customHeight="1" x14ac:dyDescent="0.3">
      <c r="A33" s="509"/>
      <c r="B33" s="509"/>
      <c r="C33" s="509"/>
      <c r="D33" s="509"/>
      <c r="E33" s="509"/>
    </row>
    <row r="34" spans="1:6" s="502" customFormat="1" ht="16.5" customHeight="1" x14ac:dyDescent="0.3">
      <c r="A34" s="510" t="s">
        <v>19</v>
      </c>
      <c r="B34" s="541" t="s">
        <v>20</v>
      </c>
      <c r="C34" s="542"/>
      <c r="D34" s="542"/>
      <c r="E34" s="542"/>
    </row>
    <row r="35" spans="1:6" ht="16.5" customHeight="1" x14ac:dyDescent="0.3">
      <c r="A35" s="510"/>
      <c r="B35" s="541" t="s">
        <v>21</v>
      </c>
      <c r="C35" s="542"/>
      <c r="D35" s="542"/>
      <c r="E35" s="542"/>
    </row>
    <row r="36" spans="1:6" ht="16.5" customHeight="1" x14ac:dyDescent="0.3">
      <c r="A36" s="510"/>
      <c r="B36" s="541" t="s">
        <v>22</v>
      </c>
      <c r="C36" s="542"/>
      <c r="D36" s="542"/>
      <c r="E36" s="542"/>
    </row>
    <row r="37" spans="1:6" ht="15.75" customHeight="1" x14ac:dyDescent="0.3">
      <c r="A37" s="509"/>
      <c r="B37" s="509" t="s">
        <v>132</v>
      </c>
      <c r="C37" s="509"/>
      <c r="D37" s="509"/>
      <c r="E37" s="509"/>
    </row>
    <row r="38" spans="1:6" ht="15.75" customHeight="1" x14ac:dyDescent="0.3">
      <c r="A38" s="509"/>
      <c r="B38" s="509"/>
      <c r="C38" s="509"/>
      <c r="D38" s="509"/>
      <c r="E38" s="509"/>
    </row>
    <row r="39" spans="1:6" ht="16.5" customHeight="1" x14ac:dyDescent="0.3">
      <c r="A39" s="505" t="s">
        <v>1</v>
      </c>
      <c r="B39" s="544" t="s">
        <v>23</v>
      </c>
    </row>
    <row r="40" spans="1:6" ht="16.5" customHeight="1" x14ac:dyDescent="0.3">
      <c r="A40" s="510" t="s">
        <v>4</v>
      </c>
      <c r="B40" s="545" t="s">
        <v>133</v>
      </c>
      <c r="C40" s="509"/>
      <c r="D40" s="509"/>
      <c r="E40" s="509"/>
    </row>
    <row r="41" spans="1:6" ht="16.5" customHeight="1" x14ac:dyDescent="0.3">
      <c r="A41" s="510" t="s">
        <v>6</v>
      </c>
      <c r="B41" s="545"/>
      <c r="C41" s="509"/>
      <c r="D41" s="509"/>
      <c r="E41" s="509"/>
    </row>
    <row r="42" spans="1:6" ht="16.5" customHeight="1" x14ac:dyDescent="0.3">
      <c r="A42" s="507" t="s">
        <v>7</v>
      </c>
      <c r="B42" s="545"/>
      <c r="C42" s="509"/>
      <c r="D42" s="509"/>
      <c r="E42" s="509"/>
    </row>
    <row r="43" spans="1:6" ht="16.5" customHeight="1" x14ac:dyDescent="0.3">
      <c r="A43" s="507" t="s">
        <v>9</v>
      </c>
      <c r="B43" s="545"/>
      <c r="C43" s="509"/>
      <c r="D43" s="509"/>
      <c r="E43" s="509"/>
    </row>
    <row r="44" spans="1:6" ht="15.75" customHeight="1" x14ac:dyDescent="0.3">
      <c r="A44" s="509"/>
      <c r="B44" s="509"/>
      <c r="C44" s="509"/>
      <c r="D44" s="509"/>
      <c r="E44" s="509"/>
    </row>
    <row r="45" spans="1:6" ht="16.5" customHeight="1" x14ac:dyDescent="0.3">
      <c r="A45" s="513" t="s">
        <v>11</v>
      </c>
      <c r="B45" s="514" t="s">
        <v>12</v>
      </c>
      <c r="C45" s="513" t="s">
        <v>13</v>
      </c>
      <c r="D45" s="513" t="s">
        <v>14</v>
      </c>
      <c r="E45" s="513" t="s">
        <v>15</v>
      </c>
      <c r="F45" s="513" t="s">
        <v>131</v>
      </c>
    </row>
    <row r="46" spans="1:6" ht="16.5" customHeight="1" x14ac:dyDescent="0.3">
      <c r="A46" s="515">
        <v>1</v>
      </c>
      <c r="B46" s="516">
        <v>69569524</v>
      </c>
      <c r="C46" s="517">
        <v>7042.2</v>
      </c>
      <c r="D46" s="518">
        <v>0.9</v>
      </c>
      <c r="E46" s="519">
        <v>4.9000000000000004</v>
      </c>
      <c r="F46" s="520">
        <v>11.9</v>
      </c>
    </row>
    <row r="47" spans="1:6" ht="16.5" customHeight="1" x14ac:dyDescent="0.3">
      <c r="A47" s="515">
        <v>2</v>
      </c>
      <c r="B47" s="516">
        <v>69624354</v>
      </c>
      <c r="C47" s="517">
        <v>7034</v>
      </c>
      <c r="D47" s="518">
        <v>0.9</v>
      </c>
      <c r="E47" s="518">
        <v>4.9000000000000004</v>
      </c>
      <c r="F47" s="517">
        <v>11.9</v>
      </c>
    </row>
    <row r="48" spans="1:6" ht="16.5" customHeight="1" x14ac:dyDescent="0.3">
      <c r="A48" s="515">
        <v>3</v>
      </c>
      <c r="B48" s="516">
        <v>69636728</v>
      </c>
      <c r="C48" s="517">
        <v>6958.8</v>
      </c>
      <c r="D48" s="518">
        <v>0.9</v>
      </c>
      <c r="E48" s="518">
        <v>4.9000000000000004</v>
      </c>
      <c r="F48" s="517">
        <v>11.8</v>
      </c>
    </row>
    <row r="49" spans="1:7" ht="16.5" customHeight="1" x14ac:dyDescent="0.3">
      <c r="A49" s="515">
        <v>4</v>
      </c>
      <c r="B49" s="516">
        <v>69494888</v>
      </c>
      <c r="C49" s="517">
        <v>6932.7</v>
      </c>
      <c r="D49" s="518">
        <v>0.9</v>
      </c>
      <c r="E49" s="518">
        <v>4.9000000000000004</v>
      </c>
      <c r="F49" s="517">
        <v>11.8</v>
      </c>
    </row>
    <row r="50" spans="1:7" ht="16.5" customHeight="1" x14ac:dyDescent="0.3">
      <c r="A50" s="515">
        <v>5</v>
      </c>
      <c r="B50" s="516">
        <v>69643567</v>
      </c>
      <c r="C50" s="517">
        <v>6929</v>
      </c>
      <c r="D50" s="518">
        <v>0.9</v>
      </c>
      <c r="E50" s="518">
        <v>4.9000000000000004</v>
      </c>
      <c r="F50" s="517">
        <v>11.8</v>
      </c>
    </row>
    <row r="51" spans="1:7" ht="16.5" customHeight="1" x14ac:dyDescent="0.3">
      <c r="A51" s="515">
        <v>6</v>
      </c>
      <c r="B51" s="521">
        <v>69669073</v>
      </c>
      <c r="C51" s="522">
        <v>6916.5</v>
      </c>
      <c r="D51" s="523">
        <v>0.9</v>
      </c>
      <c r="E51" s="518">
        <v>4.9000000000000004</v>
      </c>
      <c r="F51" s="517">
        <v>11.8</v>
      </c>
    </row>
    <row r="52" spans="1:7" ht="16.5" customHeight="1" x14ac:dyDescent="0.3">
      <c r="A52" s="524" t="s">
        <v>16</v>
      </c>
      <c r="B52" s="525">
        <f>AVERAGE(B46:B51)</f>
        <v>69606355.666666672</v>
      </c>
      <c r="C52" s="526">
        <f>AVERAGE(C46:C51)</f>
        <v>6968.8666666666659</v>
      </c>
      <c r="D52" s="527">
        <f>AVERAGE(D46:D51)</f>
        <v>0.9</v>
      </c>
      <c r="E52" s="528">
        <f>AVERAGE(E46:E51)</f>
        <v>4.8999999999999995</v>
      </c>
      <c r="F52" s="529">
        <f>AVERAGE(F46:F51)</f>
        <v>11.833333333333334</v>
      </c>
    </row>
    <row r="53" spans="1:7" ht="16.5" customHeight="1" x14ac:dyDescent="0.3">
      <c r="A53" s="530" t="s">
        <v>17</v>
      </c>
      <c r="B53" s="531">
        <f>(STDEV(B46:B51)/B52)</f>
        <v>9.1644735892053037E-4</v>
      </c>
      <c r="C53" s="532"/>
      <c r="D53" s="533"/>
      <c r="E53" s="534"/>
      <c r="F53" s="535"/>
    </row>
    <row r="54" spans="1:7" s="502" customFormat="1" ht="16.5" customHeight="1" x14ac:dyDescent="0.3">
      <c r="A54" s="536" t="s">
        <v>18</v>
      </c>
      <c r="B54" s="537">
        <f>COUNT(B46:B51)</f>
        <v>6</v>
      </c>
      <c r="C54" s="538"/>
      <c r="D54" s="539"/>
      <c r="E54" s="539"/>
      <c r="F54" s="540"/>
    </row>
    <row r="55" spans="1:7" s="502" customFormat="1" ht="15.75" customHeight="1" x14ac:dyDescent="0.3">
      <c r="A55" s="509"/>
      <c r="B55" s="509"/>
      <c r="C55" s="509"/>
      <c r="D55" s="509"/>
      <c r="E55" s="509"/>
    </row>
    <row r="56" spans="1:7" s="502" customFormat="1" ht="16.5" customHeight="1" x14ac:dyDescent="0.3">
      <c r="A56" s="510" t="s">
        <v>19</v>
      </c>
      <c r="B56" s="541" t="s">
        <v>20</v>
      </c>
      <c r="C56" s="542"/>
      <c r="D56" s="542"/>
      <c r="E56" s="542"/>
    </row>
    <row r="57" spans="1:7" ht="16.5" customHeight="1" x14ac:dyDescent="0.3">
      <c r="A57" s="510"/>
      <c r="B57" s="541" t="s">
        <v>21</v>
      </c>
      <c r="C57" s="542"/>
      <c r="D57" s="542"/>
      <c r="E57" s="542"/>
    </row>
    <row r="58" spans="1:7" ht="16.5" customHeight="1" x14ac:dyDescent="0.3">
      <c r="A58" s="510"/>
      <c r="B58" s="541" t="s">
        <v>22</v>
      </c>
      <c r="C58" s="542"/>
      <c r="D58" s="542"/>
      <c r="E58" s="542"/>
    </row>
    <row r="59" spans="1:7" ht="16.5" customHeight="1" x14ac:dyDescent="0.3">
      <c r="A59" s="510"/>
      <c r="B59" s="541" t="s">
        <v>134</v>
      </c>
      <c r="C59" s="542"/>
      <c r="D59" s="542"/>
      <c r="E59" s="542"/>
    </row>
    <row r="60" spans="1:7" ht="16.5" customHeight="1" x14ac:dyDescent="0.3">
      <c r="A60" s="510"/>
      <c r="B60" s="541"/>
      <c r="C60" s="542"/>
      <c r="D60" s="542"/>
      <c r="E60" s="542"/>
    </row>
    <row r="61" spans="1:7" ht="14.25" customHeight="1" thickBot="1" x14ac:dyDescent="0.35">
      <c r="A61" s="546"/>
      <c r="B61" s="547"/>
      <c r="D61" s="548"/>
      <c r="F61" s="543"/>
      <c r="G61" s="543"/>
    </row>
    <row r="62" spans="1:7" ht="15" customHeight="1" x14ac:dyDescent="0.3">
      <c r="B62" s="549" t="s">
        <v>24</v>
      </c>
      <c r="C62" s="549"/>
      <c r="E62" s="550" t="s">
        <v>25</v>
      </c>
      <c r="F62" s="551"/>
      <c r="G62" s="550" t="s">
        <v>26</v>
      </c>
    </row>
    <row r="63" spans="1:7" ht="15" customHeight="1" x14ac:dyDescent="0.3">
      <c r="A63" s="552" t="s">
        <v>27</v>
      </c>
      <c r="B63" s="553"/>
      <c r="C63" s="553"/>
      <c r="E63" s="553"/>
      <c r="G63" s="553"/>
    </row>
    <row r="64" spans="1:7" ht="28.2" customHeight="1" x14ac:dyDescent="0.3">
      <c r="A64" s="552" t="s">
        <v>28</v>
      </c>
      <c r="B64" s="554"/>
      <c r="C64" s="554"/>
      <c r="E64" s="554"/>
      <c r="G64" s="55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40:B43"/>
    <mergeCell ref="B62:C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E58" sqref="E58"/>
    </sheetView>
  </sheetViews>
  <sheetFormatPr defaultColWidth="9.109375" defaultRowHeight="13.8" x14ac:dyDescent="0.3"/>
  <cols>
    <col min="1" max="1" width="15.5546875" style="408" customWidth="1"/>
    <col min="2" max="2" width="18.44140625" style="408" customWidth="1"/>
    <col min="3" max="3" width="14.33203125" style="408" customWidth="1"/>
    <col min="4" max="4" width="15" style="408" customWidth="1"/>
    <col min="5" max="5" width="9.109375" style="408" customWidth="1"/>
    <col min="6" max="6" width="27.88671875" style="408" customWidth="1"/>
    <col min="7" max="7" width="12.33203125" style="408" customWidth="1"/>
    <col min="8" max="8" width="9.109375" style="408" customWidth="1"/>
    <col min="9" max="16384" width="9.109375" style="409"/>
  </cols>
  <sheetData>
    <row r="10" spans="1:7" ht="13.5" customHeight="1" thickBot="1" x14ac:dyDescent="0.35"/>
    <row r="11" spans="1:7" ht="13.5" customHeight="1" thickBot="1" x14ac:dyDescent="0.35">
      <c r="A11" s="456" t="s">
        <v>29</v>
      </c>
      <c r="B11" s="457"/>
      <c r="C11" s="457"/>
      <c r="D11" s="457"/>
      <c r="E11" s="457"/>
      <c r="F11" s="458"/>
      <c r="G11" s="410"/>
    </row>
    <row r="12" spans="1:7" ht="16.5" customHeight="1" x14ac:dyDescent="0.3">
      <c r="A12" s="459" t="s">
        <v>30</v>
      </c>
      <c r="B12" s="459"/>
      <c r="C12" s="459"/>
      <c r="D12" s="459"/>
      <c r="E12" s="459"/>
      <c r="F12" s="459"/>
      <c r="G12" s="411"/>
    </row>
    <row r="14" spans="1:7" ht="16.5" customHeight="1" x14ac:dyDescent="0.3">
      <c r="A14" s="460" t="s">
        <v>31</v>
      </c>
      <c r="B14" s="460"/>
      <c r="C14" s="412" t="s">
        <v>5</v>
      </c>
    </row>
    <row r="15" spans="1:7" ht="16.5" customHeight="1" x14ac:dyDescent="0.3">
      <c r="A15" s="460" t="s">
        <v>32</v>
      </c>
      <c r="B15" s="460"/>
      <c r="C15" s="412" t="s">
        <v>129</v>
      </c>
    </row>
    <row r="16" spans="1:7" ht="16.5" customHeight="1" x14ac:dyDescent="0.3">
      <c r="A16" s="460" t="s">
        <v>33</v>
      </c>
      <c r="B16" s="460"/>
      <c r="C16" s="412" t="s">
        <v>8</v>
      </c>
    </row>
    <row r="17" spans="1:5" ht="16.5" customHeight="1" x14ac:dyDescent="0.3">
      <c r="A17" s="460" t="s">
        <v>34</v>
      </c>
      <c r="B17" s="460"/>
      <c r="C17" s="412" t="s">
        <v>10</v>
      </c>
    </row>
    <row r="18" spans="1:5" ht="16.5" customHeight="1" x14ac:dyDescent="0.3">
      <c r="A18" s="460" t="s">
        <v>35</v>
      </c>
      <c r="B18" s="460"/>
      <c r="C18" s="413" t="s">
        <v>130</v>
      </c>
    </row>
    <row r="19" spans="1:5" ht="16.5" customHeight="1" x14ac:dyDescent="0.3">
      <c r="A19" s="460" t="s">
        <v>36</v>
      </c>
      <c r="B19" s="460"/>
      <c r="C19" s="413" t="e">
        <f>#REF!</f>
        <v>#REF!</v>
      </c>
    </row>
    <row r="20" spans="1:5" ht="16.5" customHeight="1" x14ac:dyDescent="0.3">
      <c r="A20" s="414"/>
      <c r="B20" s="414"/>
      <c r="C20" s="415"/>
    </row>
    <row r="21" spans="1:5" ht="16.5" customHeight="1" x14ac:dyDescent="0.3">
      <c r="A21" s="459" t="s">
        <v>1</v>
      </c>
      <c r="B21" s="459"/>
      <c r="C21" s="416" t="s">
        <v>37</v>
      </c>
      <c r="D21" s="417"/>
    </row>
    <row r="22" spans="1:5" ht="15.75" customHeight="1" thickBot="1" x14ac:dyDescent="0.35">
      <c r="A22" s="461"/>
      <c r="B22" s="461"/>
      <c r="C22" s="418"/>
      <c r="D22" s="461"/>
      <c r="E22" s="461"/>
    </row>
    <row r="23" spans="1:5" ht="33.75" customHeight="1" thickBot="1" x14ac:dyDescent="0.35">
      <c r="C23" s="419" t="s">
        <v>38</v>
      </c>
      <c r="D23" s="420" t="s">
        <v>39</v>
      </c>
      <c r="E23" s="421"/>
    </row>
    <row r="24" spans="1:5" ht="15.75" customHeight="1" x14ac:dyDescent="0.3">
      <c r="C24" s="422">
        <v>1065.3900000000001</v>
      </c>
      <c r="D24" s="423">
        <f t="shared" ref="D24:D43" si="0">(C24-$C$46)/$C$46</f>
        <v>1.7958722313178768E-2</v>
      </c>
      <c r="E24" s="424"/>
    </row>
    <row r="25" spans="1:5" ht="15.75" customHeight="1" x14ac:dyDescent="0.3">
      <c r="C25" s="422">
        <v>1047</v>
      </c>
      <c r="D25" s="425">
        <f t="shared" si="0"/>
        <v>3.87447096272792E-4</v>
      </c>
      <c r="E25" s="424"/>
    </row>
    <row r="26" spans="1:5" ht="15.75" customHeight="1" x14ac:dyDescent="0.3">
      <c r="C26" s="422">
        <v>1050.04</v>
      </c>
      <c r="D26" s="425">
        <f t="shared" si="0"/>
        <v>3.2921059684529572E-3</v>
      </c>
      <c r="E26" s="424"/>
    </row>
    <row r="27" spans="1:5" ht="15.75" customHeight="1" x14ac:dyDescent="0.3">
      <c r="C27" s="422">
        <v>1048.07</v>
      </c>
      <c r="D27" s="425">
        <f t="shared" si="0"/>
        <v>1.4098105808887883E-3</v>
      </c>
      <c r="E27" s="424"/>
    </row>
    <row r="28" spans="1:5" ht="15.75" customHeight="1" x14ac:dyDescent="0.3">
      <c r="C28" s="422">
        <v>1047.98</v>
      </c>
      <c r="D28" s="425">
        <f t="shared" si="0"/>
        <v>1.3238173905940581E-3</v>
      </c>
      <c r="E28" s="424"/>
    </row>
    <row r="29" spans="1:5" ht="15.75" customHeight="1" x14ac:dyDescent="0.3">
      <c r="C29" s="422">
        <v>1025.06</v>
      </c>
      <c r="D29" s="425">
        <f t="shared" si="0"/>
        <v>-2.0575781737817257E-2</v>
      </c>
      <c r="E29" s="424"/>
    </row>
    <row r="30" spans="1:5" ht="15.75" customHeight="1" x14ac:dyDescent="0.3">
      <c r="C30" s="422">
        <v>1050.55</v>
      </c>
      <c r="D30" s="425">
        <f t="shared" si="0"/>
        <v>3.7794007134568635E-3</v>
      </c>
      <c r="E30" s="424"/>
    </row>
    <row r="31" spans="1:5" ht="15.75" customHeight="1" x14ac:dyDescent="0.3">
      <c r="C31" s="422">
        <v>1046.0999999999999</v>
      </c>
      <c r="D31" s="425">
        <f t="shared" si="0"/>
        <v>-4.7248480667538037E-4</v>
      </c>
      <c r="E31" s="424"/>
    </row>
    <row r="32" spans="1:5" ht="15.75" customHeight="1" x14ac:dyDescent="0.3">
      <c r="C32" s="422">
        <v>1046.45</v>
      </c>
      <c r="D32" s="425">
        <f t="shared" si="0"/>
        <v>-1.3806684441766123E-4</v>
      </c>
      <c r="E32" s="424"/>
    </row>
    <row r="33" spans="1:7" ht="15.75" customHeight="1" x14ac:dyDescent="0.3">
      <c r="C33" s="422">
        <v>1045.17</v>
      </c>
      <c r="D33" s="425">
        <f t="shared" si="0"/>
        <v>-1.3610811063882457E-3</v>
      </c>
      <c r="E33" s="424"/>
    </row>
    <row r="34" spans="1:7" ht="15.75" customHeight="1" x14ac:dyDescent="0.3">
      <c r="C34" s="422">
        <v>1035.1199999999999</v>
      </c>
      <c r="D34" s="425">
        <f t="shared" si="0"/>
        <v>-1.0963654022642041E-2</v>
      </c>
      <c r="E34" s="424"/>
    </row>
    <row r="35" spans="1:7" ht="15.75" customHeight="1" x14ac:dyDescent="0.3">
      <c r="C35" s="422">
        <v>1038.2</v>
      </c>
      <c r="D35" s="425">
        <f t="shared" si="0"/>
        <v>-8.0207759547751122E-3</v>
      </c>
      <c r="E35" s="424"/>
    </row>
    <row r="36" spans="1:7" ht="15.75" customHeight="1" x14ac:dyDescent="0.3">
      <c r="C36" s="422">
        <v>1048.01</v>
      </c>
      <c r="D36" s="425">
        <f t="shared" si="0"/>
        <v>1.3524817873589682E-3</v>
      </c>
      <c r="E36" s="424"/>
    </row>
    <row r="37" spans="1:7" ht="15.75" customHeight="1" x14ac:dyDescent="0.3">
      <c r="C37" s="422">
        <v>1049.54</v>
      </c>
      <c r="D37" s="425">
        <f t="shared" si="0"/>
        <v>2.8143660223706873E-3</v>
      </c>
      <c r="E37" s="424"/>
    </row>
    <row r="38" spans="1:7" ht="15.75" customHeight="1" x14ac:dyDescent="0.3">
      <c r="C38" s="422">
        <v>1048.19</v>
      </c>
      <c r="D38" s="425">
        <f t="shared" si="0"/>
        <v>1.5244681679486461E-3</v>
      </c>
      <c r="E38" s="424"/>
    </row>
    <row r="39" spans="1:7" ht="15.75" customHeight="1" x14ac:dyDescent="0.3">
      <c r="C39" s="422">
        <v>1043.24</v>
      </c>
      <c r="D39" s="425">
        <f t="shared" si="0"/>
        <v>-3.2051572982658674E-3</v>
      </c>
      <c r="E39" s="424"/>
    </row>
    <row r="40" spans="1:7" ht="15.75" customHeight="1" x14ac:dyDescent="0.3">
      <c r="C40" s="422">
        <v>1043.0899999999999</v>
      </c>
      <c r="D40" s="425">
        <f t="shared" si="0"/>
        <v>-3.3484792820906353E-3</v>
      </c>
      <c r="E40" s="424"/>
    </row>
    <row r="41" spans="1:7" ht="15.75" customHeight="1" x14ac:dyDescent="0.3">
      <c r="C41" s="422">
        <v>1050.22</v>
      </c>
      <c r="D41" s="425">
        <f t="shared" si="0"/>
        <v>3.4640923490426349E-3</v>
      </c>
      <c r="E41" s="424"/>
    </row>
    <row r="42" spans="1:7" ht="15.75" customHeight="1" x14ac:dyDescent="0.3">
      <c r="C42" s="422">
        <v>1056.1400000000001</v>
      </c>
      <c r="D42" s="425">
        <f t="shared" si="0"/>
        <v>9.1205333106567782E-3</v>
      </c>
      <c r="E42" s="424"/>
    </row>
    <row r="43" spans="1:7" ht="16.5" customHeight="1" thickBot="1" x14ac:dyDescent="0.35">
      <c r="C43" s="426">
        <v>1048.33</v>
      </c>
      <c r="D43" s="427">
        <f t="shared" si="0"/>
        <v>1.6582353528515599E-3</v>
      </c>
      <c r="E43" s="424"/>
    </row>
    <row r="44" spans="1:7" ht="16.5" customHeight="1" thickBot="1" x14ac:dyDescent="0.35">
      <c r="C44" s="428"/>
      <c r="D44" s="424"/>
      <c r="E44" s="429"/>
    </row>
    <row r="45" spans="1:7" ht="16.5" customHeight="1" thickBot="1" x14ac:dyDescent="0.35">
      <c r="B45" s="430" t="s">
        <v>40</v>
      </c>
      <c r="C45" s="431">
        <f>SUM(C24:C44)</f>
        <v>20931.89</v>
      </c>
      <c r="D45" s="432"/>
      <c r="E45" s="428"/>
    </row>
    <row r="46" spans="1:7" ht="17.25" customHeight="1" thickBot="1" x14ac:dyDescent="0.35">
      <c r="B46" s="430" t="s">
        <v>41</v>
      </c>
      <c r="C46" s="433">
        <f>AVERAGE(C24:C44)</f>
        <v>1046.5944999999999</v>
      </c>
      <c r="E46" s="434"/>
    </row>
    <row r="47" spans="1:7" ht="17.25" customHeight="1" thickBot="1" x14ac:dyDescent="0.35">
      <c r="A47" s="412"/>
      <c r="B47" s="435"/>
      <c r="D47" s="436"/>
      <c r="E47" s="434"/>
    </row>
    <row r="48" spans="1:7" ht="33.75" customHeight="1" thickBot="1" x14ac:dyDescent="0.35">
      <c r="B48" s="437" t="s">
        <v>41</v>
      </c>
      <c r="C48" s="420" t="s">
        <v>42</v>
      </c>
      <c r="D48" s="438"/>
      <c r="G48" s="436"/>
    </row>
    <row r="49" spans="1:6" ht="17.25" customHeight="1" thickBot="1" x14ac:dyDescent="0.35">
      <c r="B49" s="454">
        <f>C46</f>
        <v>1046.5944999999999</v>
      </c>
      <c r="C49" s="439">
        <f>-IF(C46&lt;=80,10%,IF(C46&lt;250,7.5%,5%))</f>
        <v>-0.05</v>
      </c>
      <c r="D49" s="440">
        <f>IF(C46&lt;=80,C46*0.9,IF(C46&lt;250,C46*0.925,C46*0.95))</f>
        <v>994.26477499999987</v>
      </c>
    </row>
    <row r="50" spans="1:6" ht="17.25" customHeight="1" thickBot="1" x14ac:dyDescent="0.35">
      <c r="B50" s="455"/>
      <c r="C50" s="441">
        <f>IF(C46&lt;=80, 10%, IF(C46&lt;250, 7.5%, 5%))</f>
        <v>0.05</v>
      </c>
      <c r="D50" s="440">
        <f>IF(C46&lt;=80, C46*1.1, IF(C46&lt;250, C46*1.075, C46*1.05))</f>
        <v>1098.924225</v>
      </c>
    </row>
    <row r="51" spans="1:6" ht="16.5" customHeight="1" thickBot="1" x14ac:dyDescent="0.35">
      <c r="A51" s="442"/>
      <c r="B51" s="443"/>
      <c r="C51" s="412"/>
      <c r="D51" s="444"/>
      <c r="E51" s="412"/>
      <c r="F51" s="417"/>
    </row>
    <row r="52" spans="1:6" ht="16.5" customHeight="1" x14ac:dyDescent="0.3">
      <c r="A52" s="412"/>
      <c r="B52" s="445" t="s">
        <v>24</v>
      </c>
      <c r="C52" s="445"/>
      <c r="D52" s="446" t="s">
        <v>25</v>
      </c>
      <c r="E52" s="447"/>
      <c r="F52" s="446" t="s">
        <v>26</v>
      </c>
    </row>
    <row r="53" spans="1:6" ht="34.5" customHeight="1" x14ac:dyDescent="0.3">
      <c r="A53" s="414" t="s">
        <v>27</v>
      </c>
      <c r="B53" s="448"/>
      <c r="C53" s="412"/>
      <c r="D53" s="448"/>
      <c r="E53" s="412"/>
      <c r="F53" s="448"/>
    </row>
    <row r="54" spans="1:6" ht="34.5" customHeight="1" x14ac:dyDescent="0.3">
      <c r="A54" s="414" t="s">
        <v>28</v>
      </c>
      <c r="B54" s="449"/>
      <c r="C54" s="450"/>
      <c r="D54" s="449"/>
      <c r="E54" s="412"/>
      <c r="F54" s="45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0" zoomScaleNormal="40" zoomScalePageLayoutView="50" workbookViewId="0">
      <selection activeCell="D64" sqref="D64:D6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0" t="s">
        <v>43</v>
      </c>
      <c r="B1" s="490"/>
      <c r="C1" s="490"/>
      <c r="D1" s="490"/>
      <c r="E1" s="490"/>
      <c r="F1" s="490"/>
      <c r="G1" s="490"/>
      <c r="H1" s="490"/>
      <c r="I1" s="490"/>
    </row>
    <row r="2" spans="1:9" ht="18.75" customHeight="1" x14ac:dyDescent="0.3">
      <c r="A2" s="490"/>
      <c r="B2" s="490"/>
      <c r="C2" s="490"/>
      <c r="D2" s="490"/>
      <c r="E2" s="490"/>
      <c r="F2" s="490"/>
      <c r="G2" s="490"/>
      <c r="H2" s="490"/>
      <c r="I2" s="490"/>
    </row>
    <row r="3" spans="1:9" ht="18.7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</row>
    <row r="4" spans="1:9" ht="18.75" customHeight="1" x14ac:dyDescent="0.3">
      <c r="A4" s="490"/>
      <c r="B4" s="490"/>
      <c r="C4" s="490"/>
      <c r="D4" s="490"/>
      <c r="E4" s="490"/>
      <c r="F4" s="490"/>
      <c r="G4" s="490"/>
      <c r="H4" s="490"/>
      <c r="I4" s="490"/>
    </row>
    <row r="5" spans="1:9" ht="18.75" customHeight="1" x14ac:dyDescent="0.3">
      <c r="A5" s="490"/>
      <c r="B5" s="490"/>
      <c r="C5" s="490"/>
      <c r="D5" s="490"/>
      <c r="E5" s="490"/>
      <c r="F5" s="490"/>
      <c r="G5" s="490"/>
      <c r="H5" s="490"/>
      <c r="I5" s="490"/>
    </row>
    <row r="6" spans="1:9" ht="18.75" customHeight="1" x14ac:dyDescent="0.3">
      <c r="A6" s="490"/>
      <c r="B6" s="490"/>
      <c r="C6" s="490"/>
      <c r="D6" s="490"/>
      <c r="E6" s="490"/>
      <c r="F6" s="490"/>
      <c r="G6" s="490"/>
      <c r="H6" s="490"/>
      <c r="I6" s="490"/>
    </row>
    <row r="7" spans="1:9" ht="18.75" customHeight="1" x14ac:dyDescent="0.3">
      <c r="A7" s="490"/>
      <c r="B7" s="490"/>
      <c r="C7" s="490"/>
      <c r="D7" s="490"/>
      <c r="E7" s="490"/>
      <c r="F7" s="490"/>
      <c r="G7" s="490"/>
      <c r="H7" s="490"/>
      <c r="I7" s="490"/>
    </row>
    <row r="8" spans="1:9" x14ac:dyDescent="0.3">
      <c r="A8" s="491" t="s">
        <v>44</v>
      </c>
      <c r="B8" s="491"/>
      <c r="C8" s="491"/>
      <c r="D8" s="491"/>
      <c r="E8" s="491"/>
      <c r="F8" s="491"/>
      <c r="G8" s="491"/>
      <c r="H8" s="491"/>
      <c r="I8" s="491"/>
    </row>
    <row r="9" spans="1:9" x14ac:dyDescent="0.3">
      <c r="A9" s="491"/>
      <c r="B9" s="491"/>
      <c r="C9" s="491"/>
      <c r="D9" s="491"/>
      <c r="E9" s="491"/>
      <c r="F9" s="491"/>
      <c r="G9" s="491"/>
      <c r="H9" s="491"/>
      <c r="I9" s="491"/>
    </row>
    <row r="10" spans="1:9" x14ac:dyDescent="0.3">
      <c r="A10" s="491"/>
      <c r="B10" s="491"/>
      <c r="C10" s="491"/>
      <c r="D10" s="491"/>
      <c r="E10" s="491"/>
      <c r="F10" s="491"/>
      <c r="G10" s="491"/>
      <c r="H10" s="491"/>
      <c r="I10" s="491"/>
    </row>
    <row r="11" spans="1:9" x14ac:dyDescent="0.3">
      <c r="A11" s="491"/>
      <c r="B11" s="491"/>
      <c r="C11" s="491"/>
      <c r="D11" s="491"/>
      <c r="E11" s="491"/>
      <c r="F11" s="491"/>
      <c r="G11" s="491"/>
      <c r="H11" s="491"/>
      <c r="I11" s="491"/>
    </row>
    <row r="12" spans="1:9" x14ac:dyDescent="0.3">
      <c r="A12" s="491"/>
      <c r="B12" s="491"/>
      <c r="C12" s="491"/>
      <c r="D12" s="491"/>
      <c r="E12" s="491"/>
      <c r="F12" s="491"/>
      <c r="G12" s="491"/>
      <c r="H12" s="491"/>
      <c r="I12" s="491"/>
    </row>
    <row r="13" spans="1:9" x14ac:dyDescent="0.3">
      <c r="A13" s="491"/>
      <c r="B13" s="491"/>
      <c r="C13" s="491"/>
      <c r="D13" s="491"/>
      <c r="E13" s="491"/>
      <c r="F13" s="491"/>
      <c r="G13" s="491"/>
      <c r="H13" s="491"/>
      <c r="I13" s="491"/>
    </row>
    <row r="14" spans="1:9" x14ac:dyDescent="0.3">
      <c r="A14" s="491"/>
      <c r="B14" s="491"/>
      <c r="C14" s="491"/>
      <c r="D14" s="491"/>
      <c r="E14" s="491"/>
      <c r="F14" s="491"/>
      <c r="G14" s="491"/>
      <c r="H14" s="491"/>
      <c r="I14" s="491"/>
    </row>
    <row r="15" spans="1:9" ht="19.5" customHeight="1" x14ac:dyDescent="0.35">
      <c r="A15" s="45"/>
    </row>
    <row r="16" spans="1:9" ht="19.5" customHeight="1" x14ac:dyDescent="0.35">
      <c r="A16" s="463" t="s">
        <v>29</v>
      </c>
      <c r="B16" s="464"/>
      <c r="C16" s="464"/>
      <c r="D16" s="464"/>
      <c r="E16" s="464"/>
      <c r="F16" s="464"/>
      <c r="G16" s="464"/>
      <c r="H16" s="465"/>
    </row>
    <row r="17" spans="1:14" ht="20.25" customHeight="1" x14ac:dyDescent="0.3">
      <c r="A17" s="466" t="s">
        <v>45</v>
      </c>
      <c r="B17" s="466"/>
      <c r="C17" s="466"/>
      <c r="D17" s="466"/>
      <c r="E17" s="466"/>
      <c r="F17" s="466"/>
      <c r="G17" s="466"/>
      <c r="H17" s="466"/>
    </row>
    <row r="18" spans="1:14" ht="26.25" customHeight="1" x14ac:dyDescent="0.5">
      <c r="A18" s="47" t="s">
        <v>31</v>
      </c>
      <c r="B18" s="462" t="s">
        <v>5</v>
      </c>
      <c r="C18" s="462"/>
      <c r="D18" s="211"/>
      <c r="E18" s="48"/>
      <c r="F18" s="49"/>
      <c r="G18" s="49"/>
      <c r="H18" s="49"/>
    </row>
    <row r="19" spans="1:14" ht="26.25" customHeight="1" x14ac:dyDescent="0.5">
      <c r="A19" s="47" t="s">
        <v>32</v>
      </c>
      <c r="B19" s="50" t="s">
        <v>129</v>
      </c>
      <c r="C19" s="224">
        <v>29</v>
      </c>
      <c r="D19" s="49"/>
      <c r="E19" s="49"/>
      <c r="F19" s="49"/>
      <c r="G19" s="49"/>
      <c r="H19" s="49"/>
    </row>
    <row r="20" spans="1:14" ht="26.25" customHeight="1" x14ac:dyDescent="0.5">
      <c r="A20" s="47" t="s">
        <v>33</v>
      </c>
      <c r="B20" s="467" t="s">
        <v>128</v>
      </c>
      <c r="C20" s="467"/>
      <c r="D20" s="49"/>
      <c r="E20" s="49"/>
      <c r="F20" s="49"/>
      <c r="G20" s="49"/>
      <c r="H20" s="49"/>
    </row>
    <row r="21" spans="1:14" ht="26.25" customHeight="1" x14ac:dyDescent="0.5">
      <c r="A21" s="47" t="s">
        <v>34</v>
      </c>
      <c r="B21" s="467" t="s">
        <v>10</v>
      </c>
      <c r="C21" s="467"/>
      <c r="D21" s="467"/>
      <c r="E21" s="467"/>
      <c r="F21" s="467"/>
      <c r="G21" s="467"/>
      <c r="H21" s="467"/>
      <c r="I21" s="51"/>
    </row>
    <row r="22" spans="1:14" ht="26.25" customHeight="1" x14ac:dyDescent="0.5">
      <c r="A22" s="47" t="s">
        <v>35</v>
      </c>
      <c r="B22" s="52">
        <v>42524</v>
      </c>
      <c r="C22" s="49"/>
      <c r="D22" s="49"/>
      <c r="E22" s="49"/>
      <c r="F22" s="49"/>
      <c r="G22" s="49"/>
      <c r="H22" s="49"/>
    </row>
    <row r="23" spans="1:14" ht="26.25" customHeight="1" x14ac:dyDescent="0.5">
      <c r="A23" s="47" t="s">
        <v>36</v>
      </c>
      <c r="B23" s="52">
        <v>42538</v>
      </c>
      <c r="C23" s="49"/>
      <c r="D23" s="49"/>
      <c r="E23" s="49"/>
      <c r="F23" s="49"/>
      <c r="G23" s="49"/>
      <c r="H23" s="49"/>
    </row>
    <row r="24" spans="1:14" ht="18" x14ac:dyDescent="0.35">
      <c r="A24" s="47"/>
      <c r="B24" s="53"/>
    </row>
    <row r="25" spans="1:14" ht="18" x14ac:dyDescent="0.35">
      <c r="A25" s="54" t="s">
        <v>1</v>
      </c>
      <c r="B25" s="53"/>
    </row>
    <row r="26" spans="1:14" ht="26.25" customHeight="1" x14ac:dyDescent="0.45">
      <c r="A26" s="55" t="s">
        <v>4</v>
      </c>
      <c r="B26" s="462" t="s">
        <v>125</v>
      </c>
      <c r="C26" s="462"/>
    </row>
    <row r="27" spans="1:14" ht="26.25" customHeight="1" x14ac:dyDescent="0.5">
      <c r="A27" s="56" t="s">
        <v>46</v>
      </c>
      <c r="B27" s="468" t="s">
        <v>126</v>
      </c>
      <c r="C27" s="468"/>
    </row>
    <row r="28" spans="1:14" ht="27" customHeight="1" x14ac:dyDescent="0.45">
      <c r="A28" s="56" t="s">
        <v>6</v>
      </c>
      <c r="B28" s="57">
        <v>99.58</v>
      </c>
    </row>
    <row r="29" spans="1:14" s="8" customFormat="1" ht="27" customHeight="1" x14ac:dyDescent="0.5">
      <c r="A29" s="56" t="s">
        <v>47</v>
      </c>
      <c r="B29" s="58">
        <v>0</v>
      </c>
      <c r="C29" s="469" t="s">
        <v>48</v>
      </c>
      <c r="D29" s="470"/>
      <c r="E29" s="470"/>
      <c r="F29" s="470"/>
      <c r="G29" s="471"/>
      <c r="I29" s="59"/>
      <c r="J29" s="59"/>
      <c r="K29" s="59"/>
      <c r="L29" s="59"/>
    </row>
    <row r="30" spans="1:14" s="8" customFormat="1" ht="19.5" customHeight="1" x14ac:dyDescent="0.35">
      <c r="A30" s="56" t="s">
        <v>49</v>
      </c>
      <c r="B30" s="60">
        <f>B28-B29</f>
        <v>99.58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5">
      <c r="A31" s="56" t="s">
        <v>50</v>
      </c>
      <c r="B31" s="63">
        <v>1</v>
      </c>
      <c r="C31" s="472" t="s">
        <v>51</v>
      </c>
      <c r="D31" s="473"/>
      <c r="E31" s="473"/>
      <c r="F31" s="473"/>
      <c r="G31" s="473"/>
      <c r="H31" s="474"/>
      <c r="I31" s="59"/>
      <c r="J31" s="59"/>
      <c r="K31" s="59"/>
      <c r="L31" s="59"/>
    </row>
    <row r="32" spans="1:14" s="8" customFormat="1" ht="27" customHeight="1" x14ac:dyDescent="0.45">
      <c r="A32" s="56" t="s">
        <v>52</v>
      </c>
      <c r="B32" s="63">
        <v>1</v>
      </c>
      <c r="C32" s="472" t="s">
        <v>53</v>
      </c>
      <c r="D32" s="473"/>
      <c r="E32" s="473"/>
      <c r="F32" s="473"/>
      <c r="G32" s="473"/>
      <c r="H32" s="474"/>
      <c r="I32" s="59"/>
      <c r="J32" s="59"/>
      <c r="K32" s="59"/>
      <c r="L32" s="64"/>
      <c r="M32" s="64"/>
      <c r="N32" s="65"/>
    </row>
    <row r="33" spans="1:14" s="8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" x14ac:dyDescent="0.35">
      <c r="A34" s="56" t="s">
        <v>54</v>
      </c>
      <c r="B34" s="68">
        <f>B31/B32</f>
        <v>1</v>
      </c>
      <c r="C34" s="46" t="s">
        <v>55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5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5">
      <c r="A36" s="69" t="s">
        <v>56</v>
      </c>
      <c r="B36" s="70">
        <v>20</v>
      </c>
      <c r="C36" s="46"/>
      <c r="D36" s="475" t="s">
        <v>57</v>
      </c>
      <c r="E36" s="476"/>
      <c r="F36" s="475" t="s">
        <v>58</v>
      </c>
      <c r="G36" s="477"/>
      <c r="J36" s="59"/>
      <c r="K36" s="59"/>
      <c r="L36" s="64"/>
      <c r="M36" s="64"/>
      <c r="N36" s="65"/>
    </row>
    <row r="37" spans="1:14" s="8" customFormat="1" ht="27" customHeight="1" x14ac:dyDescent="0.45">
      <c r="A37" s="71" t="s">
        <v>59</v>
      </c>
      <c r="B37" s="72">
        <v>4</v>
      </c>
      <c r="C37" s="73" t="s">
        <v>60</v>
      </c>
      <c r="D37" s="74" t="s">
        <v>61</v>
      </c>
      <c r="E37" s="75" t="s">
        <v>62</v>
      </c>
      <c r="F37" s="74" t="s">
        <v>61</v>
      </c>
      <c r="G37" s="76" t="s">
        <v>62</v>
      </c>
      <c r="I37" s="77" t="s">
        <v>63</v>
      </c>
      <c r="J37" s="59"/>
      <c r="K37" s="59"/>
      <c r="L37" s="64"/>
      <c r="M37" s="64"/>
      <c r="N37" s="65"/>
    </row>
    <row r="38" spans="1:14" s="8" customFormat="1" ht="26.25" customHeight="1" x14ac:dyDescent="0.45">
      <c r="A38" s="71" t="s">
        <v>64</v>
      </c>
      <c r="B38" s="72">
        <v>100</v>
      </c>
      <c r="C38" s="78">
        <v>1</v>
      </c>
      <c r="D38" s="259">
        <v>5918031</v>
      </c>
      <c r="E38" s="79">
        <f>IF(ISBLANK(D38),"-",$D$48/$D$45*D38)</f>
        <v>5547716.7463908512</v>
      </c>
      <c r="F38" s="259">
        <v>6164300</v>
      </c>
      <c r="G38" s="80">
        <f>IF(ISBLANK(F38),"-",$D$48/$F$45*F38)</f>
        <v>5530138.9229515502</v>
      </c>
      <c r="I38" s="81"/>
      <c r="J38" s="59"/>
      <c r="K38" s="59"/>
      <c r="L38" s="64"/>
      <c r="M38" s="64"/>
      <c r="N38" s="65"/>
    </row>
    <row r="39" spans="1:14" s="8" customFormat="1" ht="26.25" customHeight="1" x14ac:dyDescent="0.45">
      <c r="A39" s="71" t="s">
        <v>65</v>
      </c>
      <c r="B39" s="72">
        <v>1</v>
      </c>
      <c r="C39" s="82">
        <v>2</v>
      </c>
      <c r="D39" s="264">
        <v>5918980</v>
      </c>
      <c r="E39" s="84">
        <f>IF(ISBLANK(D39),"-",$D$48/$D$45*D39)</f>
        <v>5548606.3637639815</v>
      </c>
      <c r="F39" s="264">
        <v>6174952</v>
      </c>
      <c r="G39" s="85">
        <f>IF(ISBLANK(F39),"-",$D$48/$F$45*F39)</f>
        <v>5539695.0833926843</v>
      </c>
      <c r="I39" s="479">
        <f>ABS((F43/D43*D42)-F42)/D42</f>
        <v>2.0817900373676711E-3</v>
      </c>
      <c r="J39" s="59"/>
      <c r="K39" s="59"/>
      <c r="L39" s="64"/>
      <c r="M39" s="64"/>
      <c r="N39" s="65"/>
    </row>
    <row r="40" spans="1:14" ht="26.25" customHeight="1" x14ac:dyDescent="0.45">
      <c r="A40" s="71" t="s">
        <v>66</v>
      </c>
      <c r="B40" s="72">
        <v>1</v>
      </c>
      <c r="C40" s="82">
        <v>3</v>
      </c>
      <c r="D40" s="264">
        <v>5902603</v>
      </c>
      <c r="E40" s="84">
        <f>IF(ISBLANK(D40),"-",$D$48/$D$45*D40)</f>
        <v>5533254.1364512751</v>
      </c>
      <c r="F40" s="264">
        <v>6160369</v>
      </c>
      <c r="G40" s="85">
        <f>IF(ISBLANK(F40),"-",$D$48/$F$45*F40)</f>
        <v>5526612.3301338544</v>
      </c>
      <c r="I40" s="479"/>
      <c r="L40" s="64"/>
      <c r="M40" s="64"/>
      <c r="N40" s="86"/>
    </row>
    <row r="41" spans="1:14" ht="27" customHeight="1" x14ac:dyDescent="0.45">
      <c r="A41" s="71" t="s">
        <v>67</v>
      </c>
      <c r="B41" s="72">
        <v>1</v>
      </c>
      <c r="C41" s="87">
        <v>4</v>
      </c>
      <c r="D41" s="269"/>
      <c r="E41" s="88" t="str">
        <f>IF(ISBLANK(D41),"-",$D$48/$D$45*D41)</f>
        <v>-</v>
      </c>
      <c r="F41" s="269"/>
      <c r="G41" s="89" t="str">
        <f>IF(ISBLANK(F41),"-",$D$48/$F$45*F41)</f>
        <v>-</v>
      </c>
      <c r="I41" s="90"/>
      <c r="L41" s="64"/>
      <c r="M41" s="64"/>
      <c r="N41" s="86"/>
    </row>
    <row r="42" spans="1:14" ht="27" customHeight="1" x14ac:dyDescent="0.45">
      <c r="A42" s="71" t="s">
        <v>68</v>
      </c>
      <c r="B42" s="72">
        <v>1</v>
      </c>
      <c r="C42" s="91" t="s">
        <v>69</v>
      </c>
      <c r="D42" s="92">
        <f>AVERAGE(D38:D41)</f>
        <v>5913204.666666667</v>
      </c>
      <c r="E42" s="93">
        <f>AVERAGE(E38:E41)</f>
        <v>5543192.415535369</v>
      </c>
      <c r="F42" s="92">
        <f>AVERAGE(F38:F41)</f>
        <v>6166540.333333333</v>
      </c>
      <c r="G42" s="94">
        <f>AVERAGE(G38:G41)</f>
        <v>5532148.778826029</v>
      </c>
      <c r="H42" s="95"/>
    </row>
    <row r="43" spans="1:14" ht="26.25" customHeight="1" x14ac:dyDescent="0.45">
      <c r="A43" s="71" t="s">
        <v>70</v>
      </c>
      <c r="B43" s="72">
        <v>1</v>
      </c>
      <c r="C43" s="96" t="s">
        <v>71</v>
      </c>
      <c r="D43" s="97">
        <v>17.14</v>
      </c>
      <c r="E43" s="86"/>
      <c r="F43" s="97">
        <v>17.91</v>
      </c>
      <c r="H43" s="95"/>
    </row>
    <row r="44" spans="1:14" ht="26.25" customHeight="1" x14ac:dyDescent="0.45">
      <c r="A44" s="71" t="s">
        <v>72</v>
      </c>
      <c r="B44" s="72">
        <v>1</v>
      </c>
      <c r="C44" s="98" t="s">
        <v>73</v>
      </c>
      <c r="D44" s="99">
        <f>D43*$B$34</f>
        <v>17.14</v>
      </c>
      <c r="E44" s="100"/>
      <c r="F44" s="99">
        <f>F43*$B$34</f>
        <v>17.91</v>
      </c>
      <c r="H44" s="95"/>
    </row>
    <row r="45" spans="1:14" ht="19.5" customHeight="1" x14ac:dyDescent="0.35">
      <c r="A45" s="71" t="s">
        <v>74</v>
      </c>
      <c r="B45" s="101">
        <f>(B44/B43)*(B42/B41)*(B40/B39)*(B38/B37)*B36</f>
        <v>500</v>
      </c>
      <c r="C45" s="98" t="s">
        <v>75</v>
      </c>
      <c r="D45" s="102">
        <f>D44*$B$30/100</f>
        <v>17.068012</v>
      </c>
      <c r="E45" s="103"/>
      <c r="F45" s="102">
        <f>F44*$B$30/100</f>
        <v>17.834778</v>
      </c>
      <c r="H45" s="95"/>
    </row>
    <row r="46" spans="1:14" ht="19.5" customHeight="1" x14ac:dyDescent="0.35">
      <c r="A46" s="480" t="s">
        <v>76</v>
      </c>
      <c r="B46" s="481"/>
      <c r="C46" s="98" t="s">
        <v>77</v>
      </c>
      <c r="D46" s="104">
        <f>D45/$B$45</f>
        <v>3.4136024000000001E-2</v>
      </c>
      <c r="E46" s="105"/>
      <c r="F46" s="106">
        <f>F45/$B$45</f>
        <v>3.5669555999999998E-2</v>
      </c>
      <c r="H46" s="95"/>
    </row>
    <row r="47" spans="1:14" ht="27" customHeight="1" x14ac:dyDescent="0.45">
      <c r="A47" s="482"/>
      <c r="B47" s="483"/>
      <c r="C47" s="107" t="s">
        <v>78</v>
      </c>
      <c r="D47" s="108">
        <v>3.2000000000000001E-2</v>
      </c>
      <c r="E47" s="109"/>
      <c r="F47" s="105"/>
      <c r="H47" s="95"/>
    </row>
    <row r="48" spans="1:14" ht="18" x14ac:dyDescent="0.35">
      <c r="C48" s="110" t="s">
        <v>79</v>
      </c>
      <c r="D48" s="102">
        <f>D47*$B$45</f>
        <v>16</v>
      </c>
      <c r="F48" s="111"/>
      <c r="H48" s="95"/>
    </row>
    <row r="49" spans="1:12" ht="19.5" customHeight="1" x14ac:dyDescent="0.35">
      <c r="C49" s="112" t="s">
        <v>80</v>
      </c>
      <c r="D49" s="113">
        <f>D48/B34</f>
        <v>16</v>
      </c>
      <c r="F49" s="111"/>
      <c r="H49" s="95"/>
    </row>
    <row r="50" spans="1:12" ht="18" x14ac:dyDescent="0.35">
      <c r="C50" s="69" t="s">
        <v>81</v>
      </c>
      <c r="D50" s="114">
        <f>AVERAGE(E38:E41,G38:G41)</f>
        <v>5537670.597180699</v>
      </c>
      <c r="F50" s="115"/>
      <c r="H50" s="95"/>
    </row>
    <row r="51" spans="1:12" ht="18" x14ac:dyDescent="0.35">
      <c r="C51" s="71" t="s">
        <v>82</v>
      </c>
      <c r="D51" s="116">
        <f>STDEV(E38:E41,G38:G41)/D50</f>
        <v>1.6612132414256789E-3</v>
      </c>
      <c r="F51" s="115"/>
      <c r="H51" s="95"/>
    </row>
    <row r="52" spans="1:12" ht="19.5" customHeight="1" x14ac:dyDescent="0.35">
      <c r="C52" s="117" t="s">
        <v>18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83</v>
      </c>
    </row>
    <row r="55" spans="1:12" ht="18" x14ac:dyDescent="0.35">
      <c r="A55" s="46" t="s">
        <v>84</v>
      </c>
      <c r="B55" s="121" t="str">
        <f>B21</f>
        <v xml:space="preserve">Each tablet contains: Sulphamethoxazole B.P. 800 mg and Trimethoprim B.P. 160 mg.
</v>
      </c>
    </row>
    <row r="56" spans="1:12" ht="26.25" customHeight="1" x14ac:dyDescent="0.45">
      <c r="A56" s="122" t="s">
        <v>85</v>
      </c>
      <c r="B56" s="123">
        <v>160</v>
      </c>
      <c r="C56" s="46" t="str">
        <f>B20</f>
        <v>Trimethoprim BP</v>
      </c>
      <c r="H56" s="124"/>
    </row>
    <row r="57" spans="1:12" ht="18" x14ac:dyDescent="0.35">
      <c r="A57" s="121" t="s">
        <v>86</v>
      </c>
      <c r="B57" s="212">
        <f>'Uniformity (2)'!C46</f>
        <v>1046.5944999999999</v>
      </c>
      <c r="H57" s="124"/>
    </row>
    <row r="58" spans="1:12" ht="19.5" customHeight="1" x14ac:dyDescent="0.35">
      <c r="H58" s="124"/>
    </row>
    <row r="59" spans="1:12" s="8" customFormat="1" ht="27" customHeight="1" x14ac:dyDescent="0.45">
      <c r="A59" s="69" t="s">
        <v>87</v>
      </c>
      <c r="B59" s="70">
        <v>200</v>
      </c>
      <c r="C59" s="46"/>
      <c r="D59" s="125" t="s">
        <v>88</v>
      </c>
      <c r="E59" s="126" t="s">
        <v>60</v>
      </c>
      <c r="F59" s="126" t="s">
        <v>61</v>
      </c>
      <c r="G59" s="126" t="s">
        <v>89</v>
      </c>
      <c r="H59" s="73" t="s">
        <v>90</v>
      </c>
      <c r="L59" s="59"/>
    </row>
    <row r="60" spans="1:12" s="8" customFormat="1" ht="26.25" customHeight="1" x14ac:dyDescent="0.45">
      <c r="A60" s="71" t="s">
        <v>91</v>
      </c>
      <c r="B60" s="72">
        <v>4</v>
      </c>
      <c r="C60" s="484" t="s">
        <v>92</v>
      </c>
      <c r="D60" s="487">
        <v>1050.8800000000001</v>
      </c>
      <c r="E60" s="127">
        <v>1</v>
      </c>
      <c r="F60" s="128">
        <v>5474490</v>
      </c>
      <c r="G60" s="213">
        <f>IF(ISBLANK(F60),"-",(F60/$D$50*$D$47*$B$68)*($B$57/$D$60))</f>
        <v>157.52948464292109</v>
      </c>
      <c r="H60" s="129">
        <f t="shared" ref="H60:H71" si="0">IF(ISBLANK(F60),"-",G60/$B$56)</f>
        <v>0.98455927901825679</v>
      </c>
      <c r="L60" s="59"/>
    </row>
    <row r="61" spans="1:12" s="8" customFormat="1" ht="26.25" customHeight="1" x14ac:dyDescent="0.45">
      <c r="A61" s="71" t="s">
        <v>93</v>
      </c>
      <c r="B61" s="72">
        <v>100</v>
      </c>
      <c r="C61" s="485"/>
      <c r="D61" s="488"/>
      <c r="E61" s="130">
        <v>2</v>
      </c>
      <c r="F61" s="83">
        <v>5480169</v>
      </c>
      <c r="G61" s="214">
        <f>IF(ISBLANK(F61),"-",(F61/$D$50*$D$47*$B$68)*($B$57/$D$60))</f>
        <v>157.69289894147443</v>
      </c>
      <c r="H61" s="131">
        <f t="shared" si="0"/>
        <v>0.98558061838421518</v>
      </c>
      <c r="L61" s="59"/>
    </row>
    <row r="62" spans="1:12" s="8" customFormat="1" ht="26.25" customHeight="1" x14ac:dyDescent="0.45">
      <c r="A62" s="71" t="s">
        <v>94</v>
      </c>
      <c r="B62" s="72">
        <v>1</v>
      </c>
      <c r="C62" s="485"/>
      <c r="D62" s="488"/>
      <c r="E62" s="130">
        <v>3</v>
      </c>
      <c r="F62" s="132">
        <v>5485900</v>
      </c>
      <c r="G62" s="214">
        <f>IF(ISBLANK(F62),"-",(F62/$D$50*$D$47*$B$68)*($B$57/$D$60))</f>
        <v>157.85780954985779</v>
      </c>
      <c r="H62" s="131">
        <f t="shared" si="0"/>
        <v>0.98661130968661115</v>
      </c>
      <c r="L62" s="59"/>
    </row>
    <row r="63" spans="1:12" ht="27" customHeight="1" x14ac:dyDescent="0.45">
      <c r="A63" s="71" t="s">
        <v>95</v>
      </c>
      <c r="B63" s="72">
        <v>1</v>
      </c>
      <c r="C63" s="486"/>
      <c r="D63" s="489"/>
      <c r="E63" s="133">
        <v>4</v>
      </c>
      <c r="F63" s="134"/>
      <c r="G63" s="214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96</v>
      </c>
      <c r="B64" s="72">
        <v>1</v>
      </c>
      <c r="C64" s="484" t="s">
        <v>97</v>
      </c>
      <c r="D64" s="487">
        <v>1048.21</v>
      </c>
      <c r="E64" s="127">
        <v>1</v>
      </c>
      <c r="F64" s="128">
        <v>5535968</v>
      </c>
      <c r="G64" s="215">
        <f>IF(ISBLANK(F64),"-",(F64/$D$50*$D$47*$B$68)*($B$57/$D$64))</f>
        <v>159.70429084156055</v>
      </c>
      <c r="H64" s="135">
        <f t="shared" si="0"/>
        <v>0.99815181775975348</v>
      </c>
    </row>
    <row r="65" spans="1:8" ht="26.25" customHeight="1" x14ac:dyDescent="0.45">
      <c r="A65" s="71" t="s">
        <v>98</v>
      </c>
      <c r="B65" s="72">
        <v>1</v>
      </c>
      <c r="C65" s="485"/>
      <c r="D65" s="488"/>
      <c r="E65" s="130">
        <v>2</v>
      </c>
      <c r="F65" s="83">
        <v>5528717</v>
      </c>
      <c r="G65" s="216">
        <f>IF(ISBLANK(F65),"-",(F65/$D$50*$D$47*$B$68)*($B$57/$D$64))</f>
        <v>159.49511047547242</v>
      </c>
      <c r="H65" s="136">
        <f t="shared" si="0"/>
        <v>0.99684444047170262</v>
      </c>
    </row>
    <row r="66" spans="1:8" ht="26.25" customHeight="1" x14ac:dyDescent="0.45">
      <c r="A66" s="71" t="s">
        <v>99</v>
      </c>
      <c r="B66" s="72">
        <v>1</v>
      </c>
      <c r="C66" s="485"/>
      <c r="D66" s="488"/>
      <c r="E66" s="130">
        <v>3</v>
      </c>
      <c r="F66" s="83">
        <v>5537115</v>
      </c>
      <c r="G66" s="216">
        <f>IF(ISBLANK(F66),"-",(F66/$D$50*$D$47*$B$68)*($B$57/$D$64))</f>
        <v>159.73738005406958</v>
      </c>
      <c r="H66" s="136">
        <f t="shared" si="0"/>
        <v>0.99835862533793485</v>
      </c>
    </row>
    <row r="67" spans="1:8" ht="27" customHeight="1" x14ac:dyDescent="0.45">
      <c r="A67" s="71" t="s">
        <v>100</v>
      </c>
      <c r="B67" s="72">
        <v>1</v>
      </c>
      <c r="C67" s="486"/>
      <c r="D67" s="489"/>
      <c r="E67" s="133">
        <v>4</v>
      </c>
      <c r="F67" s="134"/>
      <c r="G67" s="217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5">
      <c r="A68" s="71" t="s">
        <v>101</v>
      </c>
      <c r="B68" s="138">
        <f>(B67/B66)*(B65/B64)*(B63/B62)*(B61/B60)*B59</f>
        <v>5000</v>
      </c>
      <c r="C68" s="484" t="s">
        <v>102</v>
      </c>
      <c r="D68" s="487">
        <v>1046.7</v>
      </c>
      <c r="E68" s="127">
        <v>1</v>
      </c>
      <c r="F68" s="128">
        <v>5400753</v>
      </c>
      <c r="G68" s="215">
        <f>IF(ISBLANK(F68),"-",(F68/$D$50*$D$47*$B$68)*($B$57/$D$68))</f>
        <v>156.02830965996355</v>
      </c>
      <c r="H68" s="131">
        <f t="shared" si="0"/>
        <v>0.97517693537477224</v>
      </c>
    </row>
    <row r="69" spans="1:8" ht="27" customHeight="1" x14ac:dyDescent="0.5">
      <c r="A69" s="117" t="s">
        <v>103</v>
      </c>
      <c r="B69" s="139">
        <f>(D47*B68)/B56*B57</f>
        <v>1046.5944999999999</v>
      </c>
      <c r="C69" s="485"/>
      <c r="D69" s="488"/>
      <c r="E69" s="130">
        <v>2</v>
      </c>
      <c r="F69" s="83">
        <v>5403882</v>
      </c>
      <c r="G69" s="216">
        <f>IF(ISBLANK(F69),"-",(F69/$D$50*$D$47*$B$68)*($B$57/$D$68))</f>
        <v>156.11870679179427</v>
      </c>
      <c r="H69" s="131">
        <f t="shared" si="0"/>
        <v>0.97574191744871419</v>
      </c>
    </row>
    <row r="70" spans="1:8" ht="26.25" customHeight="1" x14ac:dyDescent="0.45">
      <c r="A70" s="497" t="s">
        <v>76</v>
      </c>
      <c r="B70" s="498"/>
      <c r="C70" s="485"/>
      <c r="D70" s="488"/>
      <c r="E70" s="130">
        <v>3</v>
      </c>
      <c r="F70" s="83">
        <v>5405413</v>
      </c>
      <c r="G70" s="216">
        <f>IF(ISBLANK(F70),"-",(F70/$D$50*$D$47*$B$68)*($B$57/$D$68))</f>
        <v>156.16293753926399</v>
      </c>
      <c r="H70" s="131">
        <f t="shared" si="0"/>
        <v>0.97601835962039996</v>
      </c>
    </row>
    <row r="71" spans="1:8" ht="27" customHeight="1" x14ac:dyDescent="0.45">
      <c r="A71" s="499"/>
      <c r="B71" s="500"/>
      <c r="C71" s="496"/>
      <c r="D71" s="489"/>
      <c r="E71" s="133">
        <v>4</v>
      </c>
      <c r="F71" s="134"/>
      <c r="G71" s="217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5">
      <c r="A72" s="141"/>
      <c r="B72" s="141"/>
      <c r="C72" s="141"/>
      <c r="D72" s="141"/>
      <c r="E72" s="141"/>
      <c r="F72" s="143" t="s">
        <v>69</v>
      </c>
      <c r="G72" s="222">
        <f>AVERAGE(G60:G71)</f>
        <v>157.81410316626418</v>
      </c>
      <c r="H72" s="144">
        <f>AVERAGE(H60:H71)</f>
        <v>0.98633814478915127</v>
      </c>
    </row>
    <row r="73" spans="1:8" ht="26.25" customHeight="1" x14ac:dyDescent="0.45">
      <c r="C73" s="141"/>
      <c r="D73" s="141"/>
      <c r="E73" s="141"/>
      <c r="F73" s="145" t="s">
        <v>82</v>
      </c>
      <c r="G73" s="218">
        <f>STDEV(G60:G71)/G72</f>
        <v>9.7614466034127798E-3</v>
      </c>
      <c r="H73" s="218">
        <f>STDEV(H60:H71)/H72</f>
        <v>9.7614466034127816E-3</v>
      </c>
    </row>
    <row r="74" spans="1:8" ht="27" customHeight="1" x14ac:dyDescent="0.45">
      <c r="A74" s="141"/>
      <c r="B74" s="141"/>
      <c r="C74" s="142"/>
      <c r="D74" s="142"/>
      <c r="E74" s="146"/>
      <c r="F74" s="147" t="s">
        <v>18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55" t="s">
        <v>104</v>
      </c>
      <c r="B76" s="149" t="s">
        <v>105</v>
      </c>
      <c r="C76" s="492" t="str">
        <f>B20</f>
        <v>Trimethoprim BP</v>
      </c>
      <c r="D76" s="492"/>
      <c r="E76" s="150" t="s">
        <v>106</v>
      </c>
      <c r="F76" s="150"/>
      <c r="G76" s="151">
        <f>H72</f>
        <v>0.98633814478915127</v>
      </c>
      <c r="H76" s="152"/>
    </row>
    <row r="77" spans="1:8" ht="18" x14ac:dyDescent="0.35">
      <c r="A77" s="54" t="s">
        <v>107</v>
      </c>
      <c r="B77" s="54" t="s">
        <v>108</v>
      </c>
    </row>
    <row r="78" spans="1:8" ht="18" x14ac:dyDescent="0.35">
      <c r="A78" s="54"/>
      <c r="B78" s="54"/>
    </row>
    <row r="79" spans="1:8" ht="26.25" customHeight="1" x14ac:dyDescent="0.45">
      <c r="A79" s="55" t="s">
        <v>4</v>
      </c>
      <c r="B79" s="478" t="str">
        <f>B26</f>
        <v>Trimethoprim</v>
      </c>
      <c r="C79" s="478"/>
    </row>
    <row r="80" spans="1:8" ht="26.25" customHeight="1" x14ac:dyDescent="0.45">
      <c r="A80" s="56" t="s">
        <v>46</v>
      </c>
      <c r="B80" s="478" t="str">
        <f>B27</f>
        <v>T7 2</v>
      </c>
      <c r="C80" s="478"/>
    </row>
    <row r="81" spans="1:12" ht="27" customHeight="1" x14ac:dyDescent="0.45">
      <c r="A81" s="56" t="s">
        <v>6</v>
      </c>
      <c r="B81" s="153">
        <f>B28</f>
        <v>99.58</v>
      </c>
    </row>
    <row r="82" spans="1:12" s="8" customFormat="1" ht="27" customHeight="1" x14ac:dyDescent="0.5">
      <c r="A82" s="56" t="s">
        <v>47</v>
      </c>
      <c r="B82" s="58">
        <v>0</v>
      </c>
      <c r="C82" s="469" t="s">
        <v>48</v>
      </c>
      <c r="D82" s="470"/>
      <c r="E82" s="470"/>
      <c r="F82" s="470"/>
      <c r="G82" s="471"/>
      <c r="I82" s="59"/>
      <c r="J82" s="59"/>
      <c r="K82" s="59"/>
      <c r="L82" s="59"/>
    </row>
    <row r="83" spans="1:12" s="8" customFormat="1" ht="19.5" customHeight="1" x14ac:dyDescent="0.35">
      <c r="A83" s="56" t="s">
        <v>49</v>
      </c>
      <c r="B83" s="60">
        <f>B81-B82</f>
        <v>99.58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5">
      <c r="A84" s="56" t="s">
        <v>50</v>
      </c>
      <c r="B84" s="63">
        <v>1</v>
      </c>
      <c r="C84" s="472" t="s">
        <v>109</v>
      </c>
      <c r="D84" s="473"/>
      <c r="E84" s="473"/>
      <c r="F84" s="473"/>
      <c r="G84" s="473"/>
      <c r="H84" s="474"/>
      <c r="I84" s="59"/>
      <c r="J84" s="59"/>
      <c r="K84" s="59"/>
      <c r="L84" s="59"/>
    </row>
    <row r="85" spans="1:12" s="8" customFormat="1" ht="27" customHeight="1" x14ac:dyDescent="0.45">
      <c r="A85" s="56" t="s">
        <v>52</v>
      </c>
      <c r="B85" s="63">
        <v>1</v>
      </c>
      <c r="C85" s="472" t="s">
        <v>110</v>
      </c>
      <c r="D85" s="473"/>
      <c r="E85" s="473"/>
      <c r="F85" s="473"/>
      <c r="G85" s="473"/>
      <c r="H85" s="474"/>
      <c r="I85" s="59"/>
      <c r="J85" s="59"/>
      <c r="K85" s="59"/>
      <c r="L85" s="59"/>
    </row>
    <row r="86" spans="1:12" s="8" customFormat="1" ht="18" x14ac:dyDescent="0.35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" x14ac:dyDescent="0.35">
      <c r="A87" s="56" t="s">
        <v>54</v>
      </c>
      <c r="B87" s="68">
        <f>B84/B85</f>
        <v>1</v>
      </c>
      <c r="C87" s="46" t="s">
        <v>55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5">
      <c r="A88" s="54"/>
      <c r="B88" s="54"/>
    </row>
    <row r="89" spans="1:12" ht="27" customHeight="1" x14ac:dyDescent="0.45">
      <c r="A89" s="69" t="s">
        <v>56</v>
      </c>
      <c r="B89" s="70">
        <v>20</v>
      </c>
      <c r="D89" s="154" t="s">
        <v>57</v>
      </c>
      <c r="E89" s="155"/>
      <c r="F89" s="475" t="s">
        <v>58</v>
      </c>
      <c r="G89" s="477"/>
    </row>
    <row r="90" spans="1:12" ht="27" customHeight="1" x14ac:dyDescent="0.45">
      <c r="A90" s="71" t="s">
        <v>59</v>
      </c>
      <c r="B90" s="72">
        <v>4</v>
      </c>
      <c r="C90" s="156" t="s">
        <v>60</v>
      </c>
      <c r="D90" s="74" t="s">
        <v>61</v>
      </c>
      <c r="E90" s="75" t="s">
        <v>62</v>
      </c>
      <c r="F90" s="74" t="s">
        <v>61</v>
      </c>
      <c r="G90" s="157" t="s">
        <v>62</v>
      </c>
      <c r="I90" s="77" t="s">
        <v>63</v>
      </c>
    </row>
    <row r="91" spans="1:12" ht="26.25" customHeight="1" x14ac:dyDescent="0.45">
      <c r="A91" s="71" t="s">
        <v>64</v>
      </c>
      <c r="B91" s="72">
        <v>100</v>
      </c>
      <c r="C91" s="158">
        <v>1</v>
      </c>
      <c r="D91" s="259">
        <v>5918031</v>
      </c>
      <c r="E91" s="79">
        <f>IF(ISBLANK(D91),"-",$D$101/$D$98*D91)</f>
        <v>6164129.7182120569</v>
      </c>
      <c r="F91" s="259">
        <v>6164300</v>
      </c>
      <c r="G91" s="80">
        <f>IF(ISBLANK(F91),"-",$D$101/$F$98*F91)</f>
        <v>6144598.8032795005</v>
      </c>
      <c r="I91" s="81"/>
    </row>
    <row r="92" spans="1:12" ht="26.25" customHeight="1" x14ac:dyDescent="0.45">
      <c r="A92" s="71" t="s">
        <v>65</v>
      </c>
      <c r="B92" s="72">
        <v>1</v>
      </c>
      <c r="C92" s="142">
        <v>2</v>
      </c>
      <c r="D92" s="264">
        <v>5918980</v>
      </c>
      <c r="E92" s="84">
        <f>IF(ISBLANK(D92),"-",$D$101/$D$98*D92)</f>
        <v>6165118.1819599792</v>
      </c>
      <c r="F92" s="264">
        <v>6174952</v>
      </c>
      <c r="G92" s="85">
        <f>IF(ISBLANK(F92),"-",$D$101/$F$98*F92)</f>
        <v>6155216.7593252044</v>
      </c>
      <c r="I92" s="479">
        <f>ABS((F96/D96*D95)-F95)/D95</f>
        <v>2.0817900373676711E-3</v>
      </c>
    </row>
    <row r="93" spans="1:12" ht="26.25" customHeight="1" x14ac:dyDescent="0.45">
      <c r="A93" s="71" t="s">
        <v>66</v>
      </c>
      <c r="B93" s="72">
        <v>1</v>
      </c>
      <c r="C93" s="142">
        <v>3</v>
      </c>
      <c r="D93" s="264">
        <v>5902603</v>
      </c>
      <c r="E93" s="84">
        <f>IF(ISBLANK(D93),"-",$D$101/$D$98*D93)</f>
        <v>6148060.1516125277</v>
      </c>
      <c r="F93" s="264">
        <v>6160369</v>
      </c>
      <c r="G93" s="85">
        <f>IF(ISBLANK(F93),"-",$D$101/$F$98*F93)</f>
        <v>6140680.3668153938</v>
      </c>
      <c r="I93" s="479"/>
    </row>
    <row r="94" spans="1:12" ht="27" customHeight="1" x14ac:dyDescent="0.45">
      <c r="A94" s="71" t="s">
        <v>67</v>
      </c>
      <c r="B94" s="72">
        <v>1</v>
      </c>
      <c r="C94" s="159">
        <v>4</v>
      </c>
      <c r="D94" s="269"/>
      <c r="E94" s="88" t="str">
        <f>IF(ISBLANK(D94),"-",$D$101/$D$98*D94)</f>
        <v>-</v>
      </c>
      <c r="F94" s="269"/>
      <c r="G94" s="89" t="str">
        <f>IF(ISBLANK(F94),"-",$D$101/$F$98*F94)</f>
        <v>-</v>
      </c>
      <c r="I94" s="90"/>
    </row>
    <row r="95" spans="1:12" ht="27" customHeight="1" x14ac:dyDescent="0.45">
      <c r="A95" s="71" t="s">
        <v>68</v>
      </c>
      <c r="B95" s="72">
        <v>1</v>
      </c>
      <c r="C95" s="160" t="s">
        <v>69</v>
      </c>
      <c r="D95" s="161">
        <f>AVERAGE(D91:D94)</f>
        <v>5913204.666666667</v>
      </c>
      <c r="E95" s="93">
        <f>AVERAGE(E91:E94)</f>
        <v>6159102.6839281879</v>
      </c>
      <c r="F95" s="162">
        <f>AVERAGE(F91:F94)</f>
        <v>6166540.333333333</v>
      </c>
      <c r="G95" s="163">
        <f>AVERAGE(G91:G94)</f>
        <v>6146831.9764733659</v>
      </c>
    </row>
    <row r="96" spans="1:12" ht="26.25" customHeight="1" x14ac:dyDescent="0.45">
      <c r="A96" s="71" t="s">
        <v>70</v>
      </c>
      <c r="B96" s="57">
        <v>1</v>
      </c>
      <c r="C96" s="164" t="s">
        <v>111</v>
      </c>
      <c r="D96" s="165">
        <f>D43</f>
        <v>17.14</v>
      </c>
      <c r="E96" s="86"/>
      <c r="F96" s="97">
        <f>F43</f>
        <v>17.91</v>
      </c>
    </row>
    <row r="97" spans="1:10" ht="26.25" customHeight="1" x14ac:dyDescent="0.45">
      <c r="A97" s="71" t="s">
        <v>72</v>
      </c>
      <c r="B97" s="57">
        <v>1</v>
      </c>
      <c r="C97" s="166" t="s">
        <v>112</v>
      </c>
      <c r="D97" s="167">
        <f>D96*$B$87</f>
        <v>17.14</v>
      </c>
      <c r="E97" s="100"/>
      <c r="F97" s="99">
        <f>F96*$B$87</f>
        <v>17.91</v>
      </c>
    </row>
    <row r="98" spans="1:10" ht="19.5" customHeight="1" x14ac:dyDescent="0.35">
      <c r="A98" s="71" t="s">
        <v>74</v>
      </c>
      <c r="B98" s="168">
        <f>(B97/B96)*(B95/B94)*(B93/B92)*(B91/B90)*B89</f>
        <v>500</v>
      </c>
      <c r="C98" s="166" t="s">
        <v>113</v>
      </c>
      <c r="D98" s="169">
        <f>D97*$B$83/100</f>
        <v>17.068012</v>
      </c>
      <c r="E98" s="103"/>
      <c r="F98" s="102">
        <f>F97*$B$83/100</f>
        <v>17.834778</v>
      </c>
    </row>
    <row r="99" spans="1:10" ht="19.5" customHeight="1" x14ac:dyDescent="0.35">
      <c r="A99" s="480" t="s">
        <v>76</v>
      </c>
      <c r="B99" s="494"/>
      <c r="C99" s="166" t="s">
        <v>114</v>
      </c>
      <c r="D99" s="170">
        <f>D98/$B$98</f>
        <v>3.4136024000000001E-2</v>
      </c>
      <c r="E99" s="103"/>
      <c r="F99" s="106">
        <f>F98/$B$98</f>
        <v>3.5669555999999998E-2</v>
      </c>
      <c r="G99" s="171"/>
      <c r="H99" s="95"/>
    </row>
    <row r="100" spans="1:10" ht="19.5" customHeight="1" x14ac:dyDescent="0.35">
      <c r="A100" s="482"/>
      <c r="B100" s="495"/>
      <c r="C100" s="166" t="s">
        <v>78</v>
      </c>
      <c r="D100" s="172">
        <f>$B$56/$B$116</f>
        <v>3.5555555555555556E-2</v>
      </c>
      <c r="F100" s="111"/>
      <c r="G100" s="173"/>
      <c r="H100" s="95"/>
    </row>
    <row r="101" spans="1:10" ht="18" x14ac:dyDescent="0.35">
      <c r="C101" s="166" t="s">
        <v>79</v>
      </c>
      <c r="D101" s="167">
        <f>D100*$B$98</f>
        <v>17.777777777777779</v>
      </c>
      <c r="F101" s="111"/>
      <c r="G101" s="171"/>
      <c r="H101" s="95"/>
    </row>
    <row r="102" spans="1:10" ht="19.5" customHeight="1" x14ac:dyDescent="0.35">
      <c r="C102" s="174" t="s">
        <v>80</v>
      </c>
      <c r="D102" s="175">
        <f>D101/B34</f>
        <v>17.777777777777779</v>
      </c>
      <c r="F102" s="115"/>
      <c r="G102" s="171"/>
      <c r="H102" s="95"/>
      <c r="J102" s="176"/>
    </row>
    <row r="103" spans="1:10" ht="18" x14ac:dyDescent="0.35">
      <c r="C103" s="177" t="s">
        <v>115</v>
      </c>
      <c r="D103" s="178">
        <f>AVERAGE(E91:E94,G91:G94)</f>
        <v>6152967.3302007774</v>
      </c>
      <c r="F103" s="115"/>
      <c r="G103" s="179"/>
      <c r="H103" s="95"/>
      <c r="J103" s="180"/>
    </row>
    <row r="104" spans="1:10" ht="18" x14ac:dyDescent="0.35">
      <c r="C104" s="145" t="s">
        <v>82</v>
      </c>
      <c r="D104" s="181">
        <f>STDEV(E91:E94,G91:G94)/D103</f>
        <v>1.6612132414256656E-3</v>
      </c>
      <c r="F104" s="115"/>
      <c r="G104" s="171"/>
      <c r="H104" s="95"/>
      <c r="J104" s="180"/>
    </row>
    <row r="105" spans="1:10" ht="19.5" customHeight="1" x14ac:dyDescent="0.35">
      <c r="C105" s="147" t="s">
        <v>18</v>
      </c>
      <c r="D105" s="182">
        <f>COUNT(E91:E94,G91:G94)</f>
        <v>6</v>
      </c>
      <c r="F105" s="115"/>
      <c r="G105" s="171"/>
      <c r="H105" s="95"/>
      <c r="J105" s="180"/>
    </row>
    <row r="106" spans="1:10" ht="19.5" customHeight="1" x14ac:dyDescent="0.35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116</v>
      </c>
      <c r="B107" s="70">
        <v>900</v>
      </c>
      <c r="C107" s="183" t="s">
        <v>117</v>
      </c>
      <c r="D107" s="184" t="s">
        <v>61</v>
      </c>
      <c r="E107" s="185" t="s">
        <v>118</v>
      </c>
      <c r="F107" s="186" t="s">
        <v>119</v>
      </c>
    </row>
    <row r="108" spans="1:10" ht="26.25" customHeight="1" x14ac:dyDescent="0.45">
      <c r="A108" s="71" t="s">
        <v>120</v>
      </c>
      <c r="B108" s="72">
        <v>5</v>
      </c>
      <c r="C108" s="187">
        <v>1</v>
      </c>
      <c r="D108" s="188">
        <v>5409579</v>
      </c>
      <c r="E108" s="219">
        <f t="shared" ref="E108:E113" si="1">IF(ISBLANK(D108),"-",D108/$D$103*$D$100*$B$116)</f>
        <v>140.6691427974406</v>
      </c>
      <c r="F108" s="189">
        <f t="shared" ref="F108:F113" si="2">IF(ISBLANK(D108), "-", E108/$B$56)</f>
        <v>0.87918214248400373</v>
      </c>
    </row>
    <row r="109" spans="1:10" ht="26.25" customHeight="1" x14ac:dyDescent="0.45">
      <c r="A109" s="71" t="s">
        <v>93</v>
      </c>
      <c r="B109" s="72">
        <v>25</v>
      </c>
      <c r="C109" s="187">
        <v>2</v>
      </c>
      <c r="D109" s="188">
        <v>5408614</v>
      </c>
      <c r="E109" s="220">
        <f t="shared" si="1"/>
        <v>140.64404921385497</v>
      </c>
      <c r="F109" s="190">
        <f t="shared" si="2"/>
        <v>0.87902530758659359</v>
      </c>
    </row>
    <row r="110" spans="1:10" ht="26.25" customHeight="1" x14ac:dyDescent="0.45">
      <c r="A110" s="71" t="s">
        <v>94</v>
      </c>
      <c r="B110" s="72">
        <v>1</v>
      </c>
      <c r="C110" s="187">
        <v>3</v>
      </c>
      <c r="D110" s="188">
        <v>5414982</v>
      </c>
      <c r="E110" s="220">
        <f t="shared" si="1"/>
        <v>140.80964086180654</v>
      </c>
      <c r="F110" s="190">
        <f t="shared" si="2"/>
        <v>0.88006025538629085</v>
      </c>
    </row>
    <row r="111" spans="1:10" ht="26.25" customHeight="1" x14ac:dyDescent="0.45">
      <c r="A111" s="71" t="s">
        <v>95</v>
      </c>
      <c r="B111" s="72">
        <v>1</v>
      </c>
      <c r="C111" s="187">
        <v>4</v>
      </c>
      <c r="D111" s="188">
        <v>5399308</v>
      </c>
      <c r="E111" s="220">
        <f t="shared" si="1"/>
        <v>140.40205865546346</v>
      </c>
      <c r="F111" s="190">
        <f t="shared" si="2"/>
        <v>0.87751286659664662</v>
      </c>
    </row>
    <row r="112" spans="1:10" ht="26.25" customHeight="1" x14ac:dyDescent="0.45">
      <c r="A112" s="71" t="s">
        <v>96</v>
      </c>
      <c r="B112" s="72">
        <v>1</v>
      </c>
      <c r="C112" s="187">
        <v>5</v>
      </c>
      <c r="D112" s="188">
        <v>5401930</v>
      </c>
      <c r="E112" s="220">
        <f t="shared" si="1"/>
        <v>140.47024039241839</v>
      </c>
      <c r="F112" s="190">
        <f t="shared" si="2"/>
        <v>0.87793900245261491</v>
      </c>
    </row>
    <row r="113" spans="1:10" ht="26.25" customHeight="1" x14ac:dyDescent="0.45">
      <c r="A113" s="71" t="s">
        <v>98</v>
      </c>
      <c r="B113" s="72">
        <v>1</v>
      </c>
      <c r="C113" s="191">
        <v>6</v>
      </c>
      <c r="D113" s="192">
        <v>5413536</v>
      </c>
      <c r="E113" s="221">
        <f t="shared" si="1"/>
        <v>140.77203949199841</v>
      </c>
      <c r="F113" s="193">
        <f t="shared" si="2"/>
        <v>0.87982524682499008</v>
      </c>
    </row>
    <row r="114" spans="1:10" ht="26.25" customHeight="1" x14ac:dyDescent="0.45">
      <c r="A114" s="71" t="s">
        <v>99</v>
      </c>
      <c r="B114" s="72">
        <v>1</v>
      </c>
      <c r="C114" s="187"/>
      <c r="D114" s="142"/>
      <c r="E114" s="45"/>
      <c r="F114" s="194"/>
    </row>
    <row r="115" spans="1:10" ht="26.25" customHeight="1" x14ac:dyDescent="0.45">
      <c r="A115" s="71" t="s">
        <v>100</v>
      </c>
      <c r="B115" s="72">
        <v>1</v>
      </c>
      <c r="C115" s="187"/>
      <c r="D115" s="195" t="s">
        <v>69</v>
      </c>
      <c r="E115" s="223">
        <f>AVERAGE(E108:E113)</f>
        <v>140.62786190216374</v>
      </c>
      <c r="F115" s="196">
        <f>AVERAGE(F108:F113)</f>
        <v>0.87892413688852333</v>
      </c>
    </row>
    <row r="116" spans="1:10" ht="27" customHeight="1" x14ac:dyDescent="0.45">
      <c r="A116" s="71" t="s">
        <v>101</v>
      </c>
      <c r="B116" s="101">
        <f>(B115/B114)*(B113/B112)*(B111/B110)*(B109/B108)*B107</f>
        <v>4500</v>
      </c>
      <c r="C116" s="197"/>
      <c r="D116" s="160" t="s">
        <v>82</v>
      </c>
      <c r="E116" s="198">
        <f>STDEV(E108:E113)/E115</f>
        <v>1.1537685104913453E-3</v>
      </c>
      <c r="F116" s="198">
        <f>STDEV(F108:F113)/F115</f>
        <v>1.1537685104913453E-3</v>
      </c>
      <c r="I116" s="45"/>
    </row>
    <row r="117" spans="1:10" ht="27" customHeight="1" x14ac:dyDescent="0.45">
      <c r="A117" s="480" t="s">
        <v>76</v>
      </c>
      <c r="B117" s="481"/>
      <c r="C117" s="199"/>
      <c r="D117" s="200" t="s">
        <v>18</v>
      </c>
      <c r="E117" s="201">
        <f>COUNT(E108:E113)</f>
        <v>6</v>
      </c>
      <c r="F117" s="201">
        <f>COUNT(F108:F113)</f>
        <v>6</v>
      </c>
      <c r="I117" s="45"/>
      <c r="J117" s="180"/>
    </row>
    <row r="118" spans="1:10" ht="19.5" customHeight="1" x14ac:dyDescent="0.35">
      <c r="A118" s="482"/>
      <c r="B118" s="483"/>
      <c r="C118" s="45"/>
      <c r="D118" s="45"/>
      <c r="E118" s="45"/>
      <c r="F118" s="142"/>
      <c r="G118" s="45"/>
      <c r="H118" s="45"/>
      <c r="I118" s="45"/>
    </row>
    <row r="119" spans="1:10" ht="18" x14ac:dyDescent="0.35">
      <c r="A119" s="210"/>
      <c r="B119" s="67"/>
      <c r="C119" s="45"/>
      <c r="D119" s="45"/>
      <c r="E119" s="45"/>
      <c r="F119" s="142"/>
      <c r="G119" s="45"/>
      <c r="H119" s="45"/>
      <c r="I119" s="45"/>
    </row>
    <row r="120" spans="1:10" ht="26.25" customHeight="1" x14ac:dyDescent="0.45">
      <c r="A120" s="55" t="s">
        <v>104</v>
      </c>
      <c r="B120" s="149" t="s">
        <v>121</v>
      </c>
      <c r="C120" s="492" t="str">
        <f>B20</f>
        <v>Trimethoprim BP</v>
      </c>
      <c r="D120" s="492"/>
      <c r="E120" s="150" t="s">
        <v>122</v>
      </c>
      <c r="F120" s="150"/>
      <c r="G120" s="151">
        <f>F115</f>
        <v>0.87892413688852333</v>
      </c>
      <c r="H120" s="45"/>
      <c r="I120" s="45"/>
    </row>
    <row r="121" spans="1:10" ht="19.5" customHeight="1" x14ac:dyDescent="0.35">
      <c r="A121" s="202"/>
      <c r="B121" s="202"/>
      <c r="C121" s="203"/>
      <c r="D121" s="203"/>
      <c r="E121" s="203"/>
      <c r="F121" s="203"/>
      <c r="G121" s="203"/>
      <c r="H121" s="203"/>
    </row>
    <row r="122" spans="1:10" ht="18" x14ac:dyDescent="0.35">
      <c r="B122" s="493" t="s">
        <v>24</v>
      </c>
      <c r="C122" s="493"/>
      <c r="E122" s="156" t="s">
        <v>25</v>
      </c>
      <c r="F122" s="204"/>
      <c r="G122" s="493" t="s">
        <v>26</v>
      </c>
      <c r="H122" s="493"/>
    </row>
    <row r="123" spans="1:10" ht="69.900000000000006" customHeight="1" x14ac:dyDescent="0.35">
      <c r="A123" s="205" t="s">
        <v>27</v>
      </c>
      <c r="B123" s="206"/>
      <c r="C123" s="206"/>
      <c r="E123" s="206"/>
      <c r="F123" s="45"/>
      <c r="G123" s="207"/>
      <c r="H123" s="207"/>
    </row>
    <row r="124" spans="1:10" ht="69.900000000000006" customHeight="1" x14ac:dyDescent="0.35">
      <c r="A124" s="205" t="s">
        <v>28</v>
      </c>
      <c r="B124" s="208"/>
      <c r="C124" s="208"/>
      <c r="E124" s="208"/>
      <c r="F124" s="45"/>
      <c r="G124" s="209"/>
      <c r="H124" s="209"/>
    </row>
    <row r="125" spans="1:10" ht="18" x14ac:dyDescent="0.35">
      <c r="A125" s="141"/>
      <c r="B125" s="141"/>
      <c r="C125" s="142"/>
      <c r="D125" s="142"/>
      <c r="E125" s="142"/>
      <c r="F125" s="146"/>
      <c r="G125" s="142"/>
      <c r="H125" s="142"/>
      <c r="I125" s="45"/>
    </row>
    <row r="126" spans="1:10" ht="18" x14ac:dyDescent="0.35">
      <c r="A126" s="141"/>
      <c r="B126" s="141"/>
      <c r="C126" s="142"/>
      <c r="D126" s="142"/>
      <c r="E126" s="142"/>
      <c r="F126" s="146"/>
      <c r="G126" s="142"/>
      <c r="H126" s="142"/>
      <c r="I126" s="45"/>
    </row>
    <row r="127" spans="1:10" ht="18" x14ac:dyDescent="0.35">
      <c r="A127" s="141"/>
      <c r="B127" s="141"/>
      <c r="C127" s="142"/>
      <c r="D127" s="142"/>
      <c r="E127" s="142"/>
      <c r="F127" s="146"/>
      <c r="G127" s="142"/>
      <c r="H127" s="142"/>
      <c r="I127" s="45"/>
    </row>
    <row r="128" spans="1:10" ht="18" x14ac:dyDescent="0.35">
      <c r="A128" s="141"/>
      <c r="B128" s="141"/>
      <c r="C128" s="142"/>
      <c r="D128" s="142"/>
      <c r="E128" s="142"/>
      <c r="F128" s="146"/>
      <c r="G128" s="142"/>
      <c r="H128" s="142"/>
      <c r="I128" s="45"/>
    </row>
    <row r="129" spans="1:9" ht="18" x14ac:dyDescent="0.35">
      <c r="A129" s="141"/>
      <c r="B129" s="141"/>
      <c r="C129" s="142"/>
      <c r="D129" s="142"/>
      <c r="E129" s="142"/>
      <c r="F129" s="146"/>
      <c r="G129" s="142"/>
      <c r="H129" s="142"/>
      <c r="I129" s="45"/>
    </row>
    <row r="130" spans="1:9" ht="18" x14ac:dyDescent="0.35">
      <c r="A130" s="141"/>
      <c r="B130" s="141"/>
      <c r="C130" s="142"/>
      <c r="D130" s="142"/>
      <c r="E130" s="142"/>
      <c r="F130" s="146"/>
      <c r="G130" s="142"/>
      <c r="H130" s="142"/>
      <c r="I130" s="45"/>
    </row>
    <row r="131" spans="1:9" ht="18" x14ac:dyDescent="0.35">
      <c r="A131" s="141"/>
      <c r="B131" s="141"/>
      <c r="C131" s="142"/>
      <c r="D131" s="142"/>
      <c r="E131" s="142"/>
      <c r="F131" s="146"/>
      <c r="G131" s="142"/>
      <c r="H131" s="142"/>
      <c r="I131" s="45"/>
    </row>
    <row r="132" spans="1:9" ht="18" x14ac:dyDescent="0.35">
      <c r="A132" s="141"/>
      <c r="B132" s="141"/>
      <c r="C132" s="142"/>
      <c r="D132" s="142"/>
      <c r="E132" s="142"/>
      <c r="F132" s="146"/>
      <c r="G132" s="142"/>
      <c r="H132" s="142"/>
      <c r="I132" s="45"/>
    </row>
    <row r="133" spans="1:9" ht="18" x14ac:dyDescent="0.35">
      <c r="A133" s="141"/>
      <c r="B133" s="141"/>
      <c r="C133" s="142"/>
      <c r="D133" s="142"/>
      <c r="E133" s="142"/>
      <c r="F133" s="146"/>
      <c r="G133" s="142"/>
      <c r="H133" s="142"/>
      <c r="I133" s="4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1" zoomScale="60" zoomScaleNormal="40" zoomScalePageLayoutView="7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0" t="s">
        <v>43</v>
      </c>
      <c r="B1" s="490"/>
      <c r="C1" s="490"/>
      <c r="D1" s="490"/>
      <c r="E1" s="490"/>
      <c r="F1" s="490"/>
      <c r="G1" s="490"/>
      <c r="H1" s="490"/>
      <c r="I1" s="490"/>
    </row>
    <row r="2" spans="1:9" ht="18.75" customHeight="1" x14ac:dyDescent="0.3">
      <c r="A2" s="490"/>
      <c r="B2" s="490"/>
      <c r="C2" s="490"/>
      <c r="D2" s="490"/>
      <c r="E2" s="490"/>
      <c r="F2" s="490"/>
      <c r="G2" s="490"/>
      <c r="H2" s="490"/>
      <c r="I2" s="490"/>
    </row>
    <row r="3" spans="1:9" ht="18.7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</row>
    <row r="4" spans="1:9" ht="18.75" customHeight="1" x14ac:dyDescent="0.3">
      <c r="A4" s="490"/>
      <c r="B4" s="490"/>
      <c r="C4" s="490"/>
      <c r="D4" s="490"/>
      <c r="E4" s="490"/>
      <c r="F4" s="490"/>
      <c r="G4" s="490"/>
      <c r="H4" s="490"/>
      <c r="I4" s="490"/>
    </row>
    <row r="5" spans="1:9" ht="18.75" customHeight="1" x14ac:dyDescent="0.3">
      <c r="A5" s="490"/>
      <c r="B5" s="490"/>
      <c r="C5" s="490"/>
      <c r="D5" s="490"/>
      <c r="E5" s="490"/>
      <c r="F5" s="490"/>
      <c r="G5" s="490"/>
      <c r="H5" s="490"/>
      <c r="I5" s="490"/>
    </row>
    <row r="6" spans="1:9" ht="18.75" customHeight="1" x14ac:dyDescent="0.3">
      <c r="A6" s="490"/>
      <c r="B6" s="490"/>
      <c r="C6" s="490"/>
      <c r="D6" s="490"/>
      <c r="E6" s="490"/>
      <c r="F6" s="490"/>
      <c r="G6" s="490"/>
      <c r="H6" s="490"/>
      <c r="I6" s="490"/>
    </row>
    <row r="7" spans="1:9" ht="18.75" customHeight="1" x14ac:dyDescent="0.3">
      <c r="A7" s="490"/>
      <c r="B7" s="490"/>
      <c r="C7" s="490"/>
      <c r="D7" s="490"/>
      <c r="E7" s="490"/>
      <c r="F7" s="490"/>
      <c r="G7" s="490"/>
      <c r="H7" s="490"/>
      <c r="I7" s="490"/>
    </row>
    <row r="8" spans="1:9" x14ac:dyDescent="0.3">
      <c r="A8" s="491" t="s">
        <v>44</v>
      </c>
      <c r="B8" s="491"/>
      <c r="C8" s="491"/>
      <c r="D8" s="491"/>
      <c r="E8" s="491"/>
      <c r="F8" s="491"/>
      <c r="G8" s="491"/>
      <c r="H8" s="491"/>
      <c r="I8" s="491"/>
    </row>
    <row r="9" spans="1:9" x14ac:dyDescent="0.3">
      <c r="A9" s="491"/>
      <c r="B9" s="491"/>
      <c r="C9" s="491"/>
      <c r="D9" s="491"/>
      <c r="E9" s="491"/>
      <c r="F9" s="491"/>
      <c r="G9" s="491"/>
      <c r="H9" s="491"/>
      <c r="I9" s="491"/>
    </row>
    <row r="10" spans="1:9" x14ac:dyDescent="0.3">
      <c r="A10" s="491"/>
      <c r="B10" s="491"/>
      <c r="C10" s="491"/>
      <c r="D10" s="491"/>
      <c r="E10" s="491"/>
      <c r="F10" s="491"/>
      <c r="G10" s="491"/>
      <c r="H10" s="491"/>
      <c r="I10" s="491"/>
    </row>
    <row r="11" spans="1:9" x14ac:dyDescent="0.3">
      <c r="A11" s="491"/>
      <c r="B11" s="491"/>
      <c r="C11" s="491"/>
      <c r="D11" s="491"/>
      <c r="E11" s="491"/>
      <c r="F11" s="491"/>
      <c r="G11" s="491"/>
      <c r="H11" s="491"/>
      <c r="I11" s="491"/>
    </row>
    <row r="12" spans="1:9" x14ac:dyDescent="0.3">
      <c r="A12" s="491"/>
      <c r="B12" s="491"/>
      <c r="C12" s="491"/>
      <c r="D12" s="491"/>
      <c r="E12" s="491"/>
      <c r="F12" s="491"/>
      <c r="G12" s="491"/>
      <c r="H12" s="491"/>
      <c r="I12" s="491"/>
    </row>
    <row r="13" spans="1:9" x14ac:dyDescent="0.3">
      <c r="A13" s="491"/>
      <c r="B13" s="491"/>
      <c r="C13" s="491"/>
      <c r="D13" s="491"/>
      <c r="E13" s="491"/>
      <c r="F13" s="491"/>
      <c r="G13" s="491"/>
      <c r="H13" s="491"/>
      <c r="I13" s="491"/>
    </row>
    <row r="14" spans="1:9" x14ac:dyDescent="0.3">
      <c r="A14" s="491"/>
      <c r="B14" s="491"/>
      <c r="C14" s="491"/>
      <c r="D14" s="491"/>
      <c r="E14" s="491"/>
      <c r="F14" s="491"/>
      <c r="G14" s="491"/>
      <c r="H14" s="491"/>
      <c r="I14" s="491"/>
    </row>
    <row r="15" spans="1:9" ht="19.5" customHeight="1" x14ac:dyDescent="0.35">
      <c r="A15" s="225"/>
    </row>
    <row r="16" spans="1:9" ht="19.5" customHeight="1" x14ac:dyDescent="0.35">
      <c r="A16" s="463" t="s">
        <v>29</v>
      </c>
      <c r="B16" s="464"/>
      <c r="C16" s="464"/>
      <c r="D16" s="464"/>
      <c r="E16" s="464"/>
      <c r="F16" s="464"/>
      <c r="G16" s="464"/>
      <c r="H16" s="465"/>
    </row>
    <row r="17" spans="1:14" ht="20.25" customHeight="1" x14ac:dyDescent="0.3">
      <c r="A17" s="466" t="s">
        <v>45</v>
      </c>
      <c r="B17" s="466"/>
      <c r="C17" s="466"/>
      <c r="D17" s="466"/>
      <c r="E17" s="466"/>
      <c r="F17" s="466"/>
      <c r="G17" s="466"/>
      <c r="H17" s="466"/>
    </row>
    <row r="18" spans="1:14" ht="26.25" customHeight="1" x14ac:dyDescent="0.5">
      <c r="A18" s="227" t="s">
        <v>31</v>
      </c>
      <c r="B18" s="462" t="s">
        <v>5</v>
      </c>
      <c r="C18" s="462"/>
      <c r="D18" s="393"/>
      <c r="E18" s="228"/>
      <c r="F18" s="229"/>
      <c r="G18" s="229"/>
      <c r="H18" s="229"/>
    </row>
    <row r="19" spans="1:14" ht="26.25" customHeight="1" x14ac:dyDescent="0.5">
      <c r="A19" s="227" t="s">
        <v>32</v>
      </c>
      <c r="B19" s="230" t="s">
        <v>129</v>
      </c>
      <c r="C19" s="406">
        <v>29</v>
      </c>
      <c r="D19" s="229"/>
      <c r="E19" s="229"/>
      <c r="F19" s="229"/>
      <c r="G19" s="229"/>
      <c r="H19" s="229"/>
    </row>
    <row r="20" spans="1:14" ht="26.25" customHeight="1" x14ac:dyDescent="0.5">
      <c r="A20" s="227" t="s">
        <v>33</v>
      </c>
      <c r="B20" s="467" t="s">
        <v>127</v>
      </c>
      <c r="C20" s="467"/>
      <c r="D20" s="229"/>
      <c r="E20" s="229"/>
      <c r="F20" s="229"/>
      <c r="G20" s="229"/>
      <c r="H20" s="229"/>
    </row>
    <row r="21" spans="1:14" ht="26.25" customHeight="1" x14ac:dyDescent="0.5">
      <c r="A21" s="227" t="s">
        <v>34</v>
      </c>
      <c r="B21" s="467" t="s">
        <v>10</v>
      </c>
      <c r="C21" s="467"/>
      <c r="D21" s="467"/>
      <c r="E21" s="467"/>
      <c r="F21" s="467"/>
      <c r="G21" s="467"/>
      <c r="H21" s="467"/>
      <c r="I21" s="231"/>
    </row>
    <row r="22" spans="1:14" ht="26.25" customHeight="1" x14ac:dyDescent="0.5">
      <c r="A22" s="227" t="s">
        <v>35</v>
      </c>
      <c r="B22" s="232">
        <f>Trimethoprim!B22</f>
        <v>42524</v>
      </c>
      <c r="C22" s="229"/>
      <c r="D22" s="229"/>
      <c r="E22" s="229"/>
      <c r="F22" s="229"/>
      <c r="G22" s="229"/>
      <c r="H22" s="229"/>
    </row>
    <row r="23" spans="1:14" ht="26.25" customHeight="1" x14ac:dyDescent="0.5">
      <c r="A23" s="227" t="s">
        <v>36</v>
      </c>
      <c r="B23" s="232">
        <f>Trimethoprim!B23</f>
        <v>42538</v>
      </c>
      <c r="C23" s="229"/>
      <c r="D23" s="229"/>
      <c r="E23" s="229"/>
      <c r="F23" s="229"/>
      <c r="G23" s="229"/>
      <c r="H23" s="229"/>
    </row>
    <row r="24" spans="1:14" ht="18" x14ac:dyDescent="0.35">
      <c r="A24" s="227"/>
      <c r="B24" s="233"/>
    </row>
    <row r="25" spans="1:14" ht="18" x14ac:dyDescent="0.35">
      <c r="A25" s="234" t="s">
        <v>1</v>
      </c>
      <c r="B25" s="233"/>
    </row>
    <row r="26" spans="1:14" ht="26.25" customHeight="1" x14ac:dyDescent="0.45">
      <c r="A26" s="235" t="s">
        <v>4</v>
      </c>
      <c r="B26" s="462" t="s">
        <v>123</v>
      </c>
      <c r="C26" s="462"/>
    </row>
    <row r="27" spans="1:14" ht="26.25" customHeight="1" x14ac:dyDescent="0.5">
      <c r="A27" s="236" t="s">
        <v>46</v>
      </c>
      <c r="B27" s="468" t="s">
        <v>124</v>
      </c>
      <c r="C27" s="468"/>
    </row>
    <row r="28" spans="1:14" ht="27" customHeight="1" x14ac:dyDescent="0.45">
      <c r="A28" s="236" t="s">
        <v>6</v>
      </c>
      <c r="B28" s="237">
        <v>99.66</v>
      </c>
    </row>
    <row r="29" spans="1:14" s="8" customFormat="1" ht="27" customHeight="1" x14ac:dyDescent="0.5">
      <c r="A29" s="236" t="s">
        <v>47</v>
      </c>
      <c r="B29" s="238">
        <v>0</v>
      </c>
      <c r="C29" s="469" t="s">
        <v>48</v>
      </c>
      <c r="D29" s="470"/>
      <c r="E29" s="470"/>
      <c r="F29" s="470"/>
      <c r="G29" s="471"/>
      <c r="I29" s="239"/>
      <c r="J29" s="239"/>
      <c r="K29" s="239"/>
      <c r="L29" s="239"/>
    </row>
    <row r="30" spans="1:14" s="8" customFormat="1" ht="19.5" customHeight="1" x14ac:dyDescent="0.35">
      <c r="A30" s="236" t="s">
        <v>49</v>
      </c>
      <c r="B30" s="240">
        <f>B28-B29</f>
        <v>99.66</v>
      </c>
      <c r="C30" s="241"/>
      <c r="D30" s="241"/>
      <c r="E30" s="241"/>
      <c r="F30" s="241"/>
      <c r="G30" s="242"/>
      <c r="I30" s="239"/>
      <c r="J30" s="239"/>
      <c r="K30" s="239"/>
      <c r="L30" s="239"/>
    </row>
    <row r="31" spans="1:14" s="8" customFormat="1" ht="27" customHeight="1" x14ac:dyDescent="0.45">
      <c r="A31" s="236" t="s">
        <v>50</v>
      </c>
      <c r="B31" s="243">
        <v>1</v>
      </c>
      <c r="C31" s="472" t="s">
        <v>51</v>
      </c>
      <c r="D31" s="473"/>
      <c r="E31" s="473"/>
      <c r="F31" s="473"/>
      <c r="G31" s="473"/>
      <c r="H31" s="474"/>
      <c r="I31" s="239"/>
      <c r="J31" s="239"/>
      <c r="K31" s="239"/>
      <c r="L31" s="239"/>
    </row>
    <row r="32" spans="1:14" s="8" customFormat="1" ht="27" customHeight="1" x14ac:dyDescent="0.45">
      <c r="A32" s="236" t="s">
        <v>52</v>
      </c>
      <c r="B32" s="243">
        <v>1</v>
      </c>
      <c r="C32" s="472" t="s">
        <v>53</v>
      </c>
      <c r="D32" s="473"/>
      <c r="E32" s="473"/>
      <c r="F32" s="473"/>
      <c r="G32" s="473"/>
      <c r="H32" s="474"/>
      <c r="I32" s="239"/>
      <c r="J32" s="239"/>
      <c r="K32" s="239"/>
      <c r="L32" s="244"/>
      <c r="M32" s="244"/>
      <c r="N32" s="245"/>
    </row>
    <row r="33" spans="1:14" s="8" customFormat="1" ht="17.25" customHeight="1" x14ac:dyDescent="0.35">
      <c r="A33" s="236"/>
      <c r="B33" s="246"/>
      <c r="C33" s="247"/>
      <c r="D33" s="247"/>
      <c r="E33" s="247"/>
      <c r="F33" s="247"/>
      <c r="G33" s="247"/>
      <c r="H33" s="247"/>
      <c r="I33" s="239"/>
      <c r="J33" s="239"/>
      <c r="K33" s="239"/>
      <c r="L33" s="244"/>
      <c r="M33" s="244"/>
      <c r="N33" s="245"/>
    </row>
    <row r="34" spans="1:14" s="8" customFormat="1" ht="18" x14ac:dyDescent="0.35">
      <c r="A34" s="236" t="s">
        <v>54</v>
      </c>
      <c r="B34" s="248">
        <f>B31/B32</f>
        <v>1</v>
      </c>
      <c r="C34" s="226" t="s">
        <v>55</v>
      </c>
      <c r="D34" s="226"/>
      <c r="E34" s="226"/>
      <c r="F34" s="226"/>
      <c r="G34" s="226"/>
      <c r="I34" s="239"/>
      <c r="J34" s="239"/>
      <c r="K34" s="239"/>
      <c r="L34" s="244"/>
      <c r="M34" s="244"/>
      <c r="N34" s="245"/>
    </row>
    <row r="35" spans="1:14" s="8" customFormat="1" ht="19.5" customHeight="1" x14ac:dyDescent="0.35">
      <c r="A35" s="236"/>
      <c r="B35" s="240"/>
      <c r="G35" s="226"/>
      <c r="I35" s="239"/>
      <c r="J35" s="239"/>
      <c r="K35" s="239"/>
      <c r="L35" s="244"/>
      <c r="M35" s="244"/>
      <c r="N35" s="245"/>
    </row>
    <row r="36" spans="1:14" s="8" customFormat="1" ht="27" customHeight="1" x14ac:dyDescent="0.45">
      <c r="A36" s="249" t="s">
        <v>56</v>
      </c>
      <c r="B36" s="250">
        <v>100</v>
      </c>
      <c r="C36" s="226"/>
      <c r="D36" s="475" t="s">
        <v>57</v>
      </c>
      <c r="E36" s="476"/>
      <c r="F36" s="475" t="s">
        <v>58</v>
      </c>
      <c r="G36" s="477"/>
      <c r="J36" s="239"/>
      <c r="K36" s="239"/>
      <c r="L36" s="244"/>
      <c r="M36" s="244"/>
      <c r="N36" s="245"/>
    </row>
    <row r="37" spans="1:14" s="8" customFormat="1" ht="27" customHeight="1" x14ac:dyDescent="0.45">
      <c r="A37" s="251" t="s">
        <v>59</v>
      </c>
      <c r="B37" s="252">
        <v>1</v>
      </c>
      <c r="C37" s="253" t="s">
        <v>60</v>
      </c>
      <c r="D37" s="254" t="s">
        <v>61</v>
      </c>
      <c r="E37" s="255" t="s">
        <v>62</v>
      </c>
      <c r="F37" s="254" t="s">
        <v>61</v>
      </c>
      <c r="G37" s="256" t="s">
        <v>62</v>
      </c>
      <c r="I37" s="257" t="s">
        <v>63</v>
      </c>
      <c r="J37" s="239"/>
      <c r="K37" s="239"/>
      <c r="L37" s="244"/>
      <c r="M37" s="244"/>
      <c r="N37" s="245"/>
    </row>
    <row r="38" spans="1:14" s="8" customFormat="1" ht="26.25" customHeight="1" x14ac:dyDescent="0.45">
      <c r="A38" s="251" t="s">
        <v>64</v>
      </c>
      <c r="B38" s="252">
        <v>1</v>
      </c>
      <c r="C38" s="258">
        <v>1</v>
      </c>
      <c r="D38" s="259">
        <v>69829244</v>
      </c>
      <c r="E38" s="260">
        <f>IF(ISBLANK(D38),"-",$D$48/$D$45*D38)</f>
        <v>75189776.965357617</v>
      </c>
      <c r="F38" s="259">
        <v>81647404</v>
      </c>
      <c r="G38" s="261">
        <f>IF(ISBLANK(F38),"-",$D$48/$F$45*F38)</f>
        <v>76254522.152514592</v>
      </c>
      <c r="I38" s="262"/>
      <c r="J38" s="239"/>
      <c r="K38" s="239"/>
      <c r="L38" s="244"/>
      <c r="M38" s="244"/>
      <c r="N38" s="245"/>
    </row>
    <row r="39" spans="1:14" s="8" customFormat="1" ht="26.25" customHeight="1" x14ac:dyDescent="0.45">
      <c r="A39" s="251" t="s">
        <v>65</v>
      </c>
      <c r="B39" s="252">
        <v>1</v>
      </c>
      <c r="C39" s="263">
        <v>2</v>
      </c>
      <c r="D39" s="264">
        <v>69874879</v>
      </c>
      <c r="E39" s="265">
        <f>IF(ISBLANK(D39),"-",$D$48/$D$45*D39)</f>
        <v>75238915.195635661</v>
      </c>
      <c r="F39" s="264">
        <v>81852751</v>
      </c>
      <c r="G39" s="266">
        <f>IF(ISBLANK(F39),"-",$D$48/$F$45*F39)</f>
        <v>76446305.8050659</v>
      </c>
      <c r="I39" s="479">
        <f>ABS((F43/D43*D42)-F42)/D42</f>
        <v>1.789835893294062E-2</v>
      </c>
      <c r="J39" s="239"/>
      <c r="K39" s="239"/>
      <c r="L39" s="244"/>
      <c r="M39" s="244"/>
      <c r="N39" s="245"/>
    </row>
    <row r="40" spans="1:14" ht="26.25" customHeight="1" x14ac:dyDescent="0.45">
      <c r="A40" s="251" t="s">
        <v>66</v>
      </c>
      <c r="B40" s="252">
        <v>1</v>
      </c>
      <c r="C40" s="263">
        <v>3</v>
      </c>
      <c r="D40" s="264">
        <v>69736026</v>
      </c>
      <c r="E40" s="265">
        <f>IF(ISBLANK(D40),"-",$D$48/$D$45*D40)</f>
        <v>75089402.964041531</v>
      </c>
      <c r="F40" s="264">
        <v>81715694</v>
      </c>
      <c r="G40" s="266">
        <f>IF(ISBLANK(F40),"-",$D$48/$F$45*F40)</f>
        <v>76318301.538786262</v>
      </c>
      <c r="I40" s="479"/>
      <c r="L40" s="244"/>
      <c r="M40" s="244"/>
      <c r="N40" s="267"/>
    </row>
    <row r="41" spans="1:14" ht="27" customHeight="1" x14ac:dyDescent="0.45">
      <c r="A41" s="251" t="s">
        <v>67</v>
      </c>
      <c r="B41" s="252">
        <v>1</v>
      </c>
      <c r="C41" s="268">
        <v>4</v>
      </c>
      <c r="D41" s="269"/>
      <c r="E41" s="270" t="str">
        <f>IF(ISBLANK(D41),"-",$D$48/$D$45*D41)</f>
        <v>-</v>
      </c>
      <c r="F41" s="269"/>
      <c r="G41" s="271" t="str">
        <f>IF(ISBLANK(F41),"-",$D$48/$F$45*F41)</f>
        <v>-</v>
      </c>
      <c r="I41" s="272"/>
      <c r="L41" s="244"/>
      <c r="M41" s="244"/>
      <c r="N41" s="267"/>
    </row>
    <row r="42" spans="1:14" ht="27" customHeight="1" x14ac:dyDescent="0.45">
      <c r="A42" s="251" t="s">
        <v>68</v>
      </c>
      <c r="B42" s="252">
        <v>1</v>
      </c>
      <c r="C42" s="273" t="s">
        <v>69</v>
      </c>
      <c r="D42" s="274">
        <f>AVERAGE(D38:D41)</f>
        <v>69813383</v>
      </c>
      <c r="E42" s="275">
        <f>AVERAGE(E38:E41)</f>
        <v>75172698.375011608</v>
      </c>
      <c r="F42" s="274">
        <f>AVERAGE(F38:F41)</f>
        <v>81738616.333333328</v>
      </c>
      <c r="G42" s="276">
        <f>AVERAGE(G38:G41)</f>
        <v>76339709.832122251</v>
      </c>
      <c r="H42" s="277"/>
    </row>
    <row r="43" spans="1:14" ht="26.25" customHeight="1" x14ac:dyDescent="0.45">
      <c r="A43" s="251" t="s">
        <v>70</v>
      </c>
      <c r="B43" s="252">
        <v>1</v>
      </c>
      <c r="C43" s="278" t="s">
        <v>71</v>
      </c>
      <c r="D43" s="279">
        <v>14.91</v>
      </c>
      <c r="E43" s="267"/>
      <c r="F43" s="279">
        <v>17.190000000000001</v>
      </c>
      <c r="H43" s="277"/>
    </row>
    <row r="44" spans="1:14" ht="26.25" customHeight="1" x14ac:dyDescent="0.45">
      <c r="A44" s="251" t="s">
        <v>72</v>
      </c>
      <c r="B44" s="252">
        <v>1</v>
      </c>
      <c r="C44" s="280" t="s">
        <v>73</v>
      </c>
      <c r="D44" s="281">
        <f>D43*$B$34</f>
        <v>14.91</v>
      </c>
      <c r="E44" s="282"/>
      <c r="F44" s="281">
        <f>F43*$B$34</f>
        <v>17.190000000000001</v>
      </c>
      <c r="H44" s="277"/>
    </row>
    <row r="45" spans="1:14" ht="19.5" customHeight="1" x14ac:dyDescent="0.35">
      <c r="A45" s="251" t="s">
        <v>74</v>
      </c>
      <c r="B45" s="283">
        <f>(B44/B43)*(B42/B41)*(B40/B39)*(B38/B37)*B36</f>
        <v>100</v>
      </c>
      <c r="C45" s="280" t="s">
        <v>75</v>
      </c>
      <c r="D45" s="284">
        <f>D44*$B$30/100</f>
        <v>14.859305999999998</v>
      </c>
      <c r="E45" s="285"/>
      <c r="F45" s="284">
        <f>F44*$B$30/100</f>
        <v>17.131554000000001</v>
      </c>
      <c r="H45" s="277"/>
    </row>
    <row r="46" spans="1:14" ht="19.5" customHeight="1" x14ac:dyDescent="0.35">
      <c r="A46" s="480" t="s">
        <v>76</v>
      </c>
      <c r="B46" s="481"/>
      <c r="C46" s="280" t="s">
        <v>77</v>
      </c>
      <c r="D46" s="286">
        <f>D45/$B$45</f>
        <v>0.14859305999999997</v>
      </c>
      <c r="E46" s="287"/>
      <c r="F46" s="288">
        <f>F45/$B$45</f>
        <v>0.17131554000000002</v>
      </c>
      <c r="H46" s="277"/>
    </row>
    <row r="47" spans="1:14" ht="27" customHeight="1" x14ac:dyDescent="0.45">
      <c r="A47" s="482"/>
      <c r="B47" s="483"/>
      <c r="C47" s="289" t="s">
        <v>78</v>
      </c>
      <c r="D47" s="290">
        <v>0.16</v>
      </c>
      <c r="E47" s="291"/>
      <c r="F47" s="287"/>
      <c r="H47" s="277"/>
    </row>
    <row r="48" spans="1:14" ht="18" x14ac:dyDescent="0.35">
      <c r="C48" s="292" t="s">
        <v>79</v>
      </c>
      <c r="D48" s="284">
        <f>D47*$B$45</f>
        <v>16</v>
      </c>
      <c r="F48" s="293"/>
      <c r="H48" s="277"/>
    </row>
    <row r="49" spans="1:12" ht="19.5" customHeight="1" x14ac:dyDescent="0.35">
      <c r="C49" s="294" t="s">
        <v>80</v>
      </c>
      <c r="D49" s="295">
        <f>D48/B34</f>
        <v>16</v>
      </c>
      <c r="F49" s="293"/>
      <c r="H49" s="277"/>
    </row>
    <row r="50" spans="1:12" ht="18" x14ac:dyDescent="0.35">
      <c r="C50" s="249" t="s">
        <v>81</v>
      </c>
      <c r="D50" s="296">
        <f>AVERAGE(E38:E41,G38:G41)</f>
        <v>75756204.10356693</v>
      </c>
      <c r="F50" s="297"/>
      <c r="H50" s="277"/>
    </row>
    <row r="51" spans="1:12" ht="18" x14ac:dyDescent="0.35">
      <c r="C51" s="251" t="s">
        <v>82</v>
      </c>
      <c r="D51" s="298">
        <f>STDEV(E38:E41,G38:G41)/D50</f>
        <v>8.5007203264760352E-3</v>
      </c>
      <c r="F51" s="297"/>
      <c r="H51" s="277"/>
    </row>
    <row r="52" spans="1:12" ht="19.5" customHeight="1" x14ac:dyDescent="0.35">
      <c r="C52" s="299" t="s">
        <v>18</v>
      </c>
      <c r="D52" s="300">
        <f>COUNT(E38:E41,G38:G41)</f>
        <v>6</v>
      </c>
      <c r="F52" s="297"/>
    </row>
    <row r="54" spans="1:12" ht="18" x14ac:dyDescent="0.35">
      <c r="A54" s="301" t="s">
        <v>1</v>
      </c>
      <c r="B54" s="302" t="s">
        <v>83</v>
      </c>
    </row>
    <row r="55" spans="1:12" ht="18" x14ac:dyDescent="0.35">
      <c r="A55" s="226" t="s">
        <v>84</v>
      </c>
      <c r="B55" s="303" t="str">
        <f>B21</f>
        <v xml:space="preserve">Each tablet contains: Sulphamethoxazole B.P. 800 mg and Trimethoprim B.P. 160 mg.
</v>
      </c>
    </row>
    <row r="56" spans="1:12" ht="26.25" customHeight="1" x14ac:dyDescent="0.45">
      <c r="A56" s="304" t="s">
        <v>85</v>
      </c>
      <c r="B56" s="305">
        <v>800</v>
      </c>
      <c r="C56" s="226" t="str">
        <f>B20</f>
        <v xml:space="preserve">Sulfamethoxazole BP </v>
      </c>
      <c r="H56" s="306"/>
    </row>
    <row r="57" spans="1:12" ht="18" x14ac:dyDescent="0.35">
      <c r="A57" s="303" t="s">
        <v>86</v>
      </c>
      <c r="B57" s="394">
        <f>'Uniformity (2)'!C46</f>
        <v>1046.5944999999999</v>
      </c>
      <c r="H57" s="306"/>
    </row>
    <row r="58" spans="1:12" ht="19.5" customHeight="1" x14ac:dyDescent="0.35">
      <c r="H58" s="306"/>
    </row>
    <row r="59" spans="1:12" s="8" customFormat="1" ht="27" customHeight="1" x14ac:dyDescent="0.45">
      <c r="A59" s="249" t="s">
        <v>87</v>
      </c>
      <c r="B59" s="250">
        <v>200</v>
      </c>
      <c r="C59" s="226"/>
      <c r="D59" s="307" t="s">
        <v>88</v>
      </c>
      <c r="E59" s="308" t="s">
        <v>60</v>
      </c>
      <c r="F59" s="308" t="s">
        <v>61</v>
      </c>
      <c r="G59" s="308" t="s">
        <v>89</v>
      </c>
      <c r="H59" s="253" t="s">
        <v>90</v>
      </c>
      <c r="L59" s="239"/>
    </row>
    <row r="60" spans="1:12" s="8" customFormat="1" ht="26.25" customHeight="1" x14ac:dyDescent="0.45">
      <c r="A60" s="251" t="s">
        <v>91</v>
      </c>
      <c r="B60" s="252">
        <v>4</v>
      </c>
      <c r="C60" s="484" t="s">
        <v>92</v>
      </c>
      <c r="D60" s="487">
        <f>Trimethoprim!D60</f>
        <v>1050.8800000000001</v>
      </c>
      <c r="E60" s="309">
        <v>1</v>
      </c>
      <c r="F60" s="310">
        <v>74361467</v>
      </c>
      <c r="G60" s="395">
        <f>IF(ISBLANK(F60),"-",(F60/$D$50*$D$47*$B$68)*($B$57/$D$60))</f>
        <v>782.06896462216434</v>
      </c>
      <c r="H60" s="311">
        <f t="shared" ref="H60:H71" si="0">IF(ISBLANK(F60),"-",G60/$B$56)</f>
        <v>0.97758620577770539</v>
      </c>
      <c r="L60" s="239"/>
    </row>
    <row r="61" spans="1:12" s="8" customFormat="1" ht="26.25" customHeight="1" x14ac:dyDescent="0.45">
      <c r="A61" s="251" t="s">
        <v>93</v>
      </c>
      <c r="B61" s="252">
        <v>100</v>
      </c>
      <c r="C61" s="485"/>
      <c r="D61" s="488"/>
      <c r="E61" s="312">
        <v>2</v>
      </c>
      <c r="F61" s="264">
        <v>74409572</v>
      </c>
      <c r="G61" s="396">
        <f>IF(ISBLANK(F61),"-",(F61/$D$50*$D$47*$B$68)*($B$57/$D$60))</f>
        <v>782.57489099856502</v>
      </c>
      <c r="H61" s="313">
        <f t="shared" si="0"/>
        <v>0.97821861374820629</v>
      </c>
      <c r="L61" s="239"/>
    </row>
    <row r="62" spans="1:12" s="8" customFormat="1" ht="26.25" customHeight="1" x14ac:dyDescent="0.45">
      <c r="A62" s="251" t="s">
        <v>94</v>
      </c>
      <c r="B62" s="252">
        <v>1</v>
      </c>
      <c r="C62" s="485"/>
      <c r="D62" s="488"/>
      <c r="E62" s="312">
        <v>3</v>
      </c>
      <c r="F62" s="314">
        <v>74474814</v>
      </c>
      <c r="G62" s="396">
        <f>IF(ISBLANK(F62),"-",(F62/$D$50*$D$47*$B$68)*($B$57/$D$60))</f>
        <v>783.26104937397577</v>
      </c>
      <c r="H62" s="313">
        <f t="shared" si="0"/>
        <v>0.97907631171746967</v>
      </c>
      <c r="L62" s="239"/>
    </row>
    <row r="63" spans="1:12" ht="27" customHeight="1" x14ac:dyDescent="0.45">
      <c r="A63" s="251" t="s">
        <v>95</v>
      </c>
      <c r="B63" s="252">
        <v>1</v>
      </c>
      <c r="C63" s="486"/>
      <c r="D63" s="489"/>
      <c r="E63" s="315">
        <v>4</v>
      </c>
      <c r="F63" s="316"/>
      <c r="G63" s="396" t="str">
        <f>IF(ISBLANK(F63),"-",(F63/$D$50*$D$47*$B$68)*($B$57/$D$60))</f>
        <v>-</v>
      </c>
      <c r="H63" s="313" t="str">
        <f t="shared" si="0"/>
        <v>-</v>
      </c>
    </row>
    <row r="64" spans="1:12" ht="26.25" customHeight="1" x14ac:dyDescent="0.45">
      <c r="A64" s="251" t="s">
        <v>96</v>
      </c>
      <c r="B64" s="252">
        <v>1</v>
      </c>
      <c r="C64" s="484" t="s">
        <v>97</v>
      </c>
      <c r="D64" s="487">
        <f>Trimethoprim!D64</f>
        <v>1048.21</v>
      </c>
      <c r="E64" s="309">
        <v>1</v>
      </c>
      <c r="F64" s="310">
        <v>74622639</v>
      </c>
      <c r="G64" s="397">
        <f>IF(ISBLANK(F64),"-",(F64/$D$50*$D$47*$B$68)*($B$57/$D$64))</f>
        <v>786.81482589643758</v>
      </c>
      <c r="H64" s="317">
        <f t="shared" si="0"/>
        <v>0.98351853237054698</v>
      </c>
    </row>
    <row r="65" spans="1:8" ht="26.25" customHeight="1" x14ac:dyDescent="0.45">
      <c r="A65" s="251" t="s">
        <v>98</v>
      </c>
      <c r="B65" s="252">
        <v>1</v>
      </c>
      <c r="C65" s="485"/>
      <c r="D65" s="488"/>
      <c r="E65" s="312">
        <v>2</v>
      </c>
      <c r="F65" s="264">
        <v>74532900</v>
      </c>
      <c r="G65" s="398">
        <f>IF(ISBLANK(F65),"-",(F65/$D$50*$D$47*$B$68)*($B$57/$D$64))</f>
        <v>785.86862543224436</v>
      </c>
      <c r="H65" s="318">
        <f t="shared" si="0"/>
        <v>0.98233578179030545</v>
      </c>
    </row>
    <row r="66" spans="1:8" ht="26.25" customHeight="1" x14ac:dyDescent="0.45">
      <c r="A66" s="251" t="s">
        <v>99</v>
      </c>
      <c r="B66" s="252">
        <v>1</v>
      </c>
      <c r="C66" s="485"/>
      <c r="D66" s="488"/>
      <c r="E66" s="312">
        <v>3</v>
      </c>
      <c r="F66" s="264">
        <v>74618947</v>
      </c>
      <c r="G66" s="398">
        <f>IF(ISBLANK(F66),"-",(F66/$D$50*$D$47*$B$68)*($B$57/$D$64))</f>
        <v>786.77589775913043</v>
      </c>
      <c r="H66" s="318">
        <f t="shared" si="0"/>
        <v>0.98346987219891302</v>
      </c>
    </row>
    <row r="67" spans="1:8" ht="27" customHeight="1" x14ac:dyDescent="0.45">
      <c r="A67" s="251" t="s">
        <v>100</v>
      </c>
      <c r="B67" s="252">
        <v>1</v>
      </c>
      <c r="C67" s="486"/>
      <c r="D67" s="489"/>
      <c r="E67" s="315">
        <v>4</v>
      </c>
      <c r="F67" s="316"/>
      <c r="G67" s="399" t="str">
        <f>IF(ISBLANK(F67),"-",(F67/$D$50*$D$47*$B$68)*($B$57/$D$64))</f>
        <v>-</v>
      </c>
      <c r="H67" s="319" t="str">
        <f t="shared" si="0"/>
        <v>-</v>
      </c>
    </row>
    <row r="68" spans="1:8" ht="26.25" customHeight="1" x14ac:dyDescent="0.5">
      <c r="A68" s="251" t="s">
        <v>101</v>
      </c>
      <c r="B68" s="320">
        <f>(B67/B66)*(B65/B64)*(B63/B62)*(B61/B60)*B59</f>
        <v>5000</v>
      </c>
      <c r="C68" s="484" t="s">
        <v>102</v>
      </c>
      <c r="D68" s="487">
        <f>Trimethoprim!D68</f>
        <v>1046.7</v>
      </c>
      <c r="E68" s="309">
        <v>1</v>
      </c>
      <c r="F68" s="310">
        <v>73091449</v>
      </c>
      <c r="G68" s="397">
        <f>IF(ISBLANK(F68),"-",(F68/$D$50*$D$47*$B$68)*($B$57/$D$68))</f>
        <v>771.78187857436444</v>
      </c>
      <c r="H68" s="313">
        <f t="shared" si="0"/>
        <v>0.96472734821795558</v>
      </c>
    </row>
    <row r="69" spans="1:8" ht="27" customHeight="1" x14ac:dyDescent="0.5">
      <c r="A69" s="299" t="s">
        <v>103</v>
      </c>
      <c r="B69" s="321">
        <f>(D47*B68)/B56*B57</f>
        <v>1046.5944999999999</v>
      </c>
      <c r="C69" s="485"/>
      <c r="D69" s="488"/>
      <c r="E69" s="312">
        <v>2</v>
      </c>
      <c r="F69" s="264">
        <v>73104641</v>
      </c>
      <c r="G69" s="398">
        <f>IF(ISBLANK(F69),"-",(F69/$D$50*$D$47*$B$68)*($B$57/$D$68))</f>
        <v>771.92117457521601</v>
      </c>
      <c r="H69" s="313">
        <f t="shared" si="0"/>
        <v>0.96490146821902001</v>
      </c>
    </row>
    <row r="70" spans="1:8" ht="26.25" customHeight="1" x14ac:dyDescent="0.45">
      <c r="A70" s="497" t="s">
        <v>76</v>
      </c>
      <c r="B70" s="498"/>
      <c r="C70" s="485"/>
      <c r="D70" s="488"/>
      <c r="E70" s="312">
        <v>3</v>
      </c>
      <c r="F70" s="264">
        <v>73124861</v>
      </c>
      <c r="G70" s="398">
        <f>IF(ISBLANK(F70),"-",(F70/$D$50*$D$47*$B$68)*($B$57/$D$68))</f>
        <v>772.13468011927455</v>
      </c>
      <c r="H70" s="313">
        <f t="shared" si="0"/>
        <v>0.96516835014909319</v>
      </c>
    </row>
    <row r="71" spans="1:8" ht="27" customHeight="1" x14ac:dyDescent="0.45">
      <c r="A71" s="499"/>
      <c r="B71" s="500"/>
      <c r="C71" s="496"/>
      <c r="D71" s="489"/>
      <c r="E71" s="315">
        <v>4</v>
      </c>
      <c r="F71" s="316"/>
      <c r="G71" s="399" t="str">
        <f>IF(ISBLANK(F71),"-",(F71/$D$50*$D$47*$B$68)*($B$57/$D$68))</f>
        <v>-</v>
      </c>
      <c r="H71" s="322" t="str">
        <f t="shared" si="0"/>
        <v>-</v>
      </c>
    </row>
    <row r="72" spans="1:8" ht="26.25" customHeight="1" x14ac:dyDescent="0.45">
      <c r="A72" s="323"/>
      <c r="B72" s="323"/>
      <c r="C72" s="323"/>
      <c r="D72" s="323"/>
      <c r="E72" s="323"/>
      <c r="F72" s="325" t="s">
        <v>69</v>
      </c>
      <c r="G72" s="404">
        <f>AVERAGE(G60:G71)</f>
        <v>780.35577637237486</v>
      </c>
      <c r="H72" s="326">
        <f>AVERAGE(H60:H71)</f>
        <v>0.9754447204654686</v>
      </c>
    </row>
    <row r="73" spans="1:8" ht="26.25" customHeight="1" x14ac:dyDescent="0.45">
      <c r="C73" s="323"/>
      <c r="D73" s="323"/>
      <c r="E73" s="323"/>
      <c r="F73" s="327" t="s">
        <v>82</v>
      </c>
      <c r="G73" s="400">
        <f>STDEV(G60:G71)/G72</f>
        <v>8.3770779524036127E-3</v>
      </c>
      <c r="H73" s="400">
        <f>STDEV(H60:H71)/H72</f>
        <v>8.377077952403604E-3</v>
      </c>
    </row>
    <row r="74" spans="1:8" ht="27" customHeight="1" x14ac:dyDescent="0.45">
      <c r="A74" s="323"/>
      <c r="B74" s="323"/>
      <c r="C74" s="324"/>
      <c r="D74" s="324"/>
      <c r="E74" s="328"/>
      <c r="F74" s="329" t="s">
        <v>18</v>
      </c>
      <c r="G74" s="330">
        <f>COUNT(G60:G71)</f>
        <v>9</v>
      </c>
      <c r="H74" s="330">
        <f>COUNT(H60:H71)</f>
        <v>9</v>
      </c>
    </row>
    <row r="76" spans="1:8" ht="26.25" customHeight="1" x14ac:dyDescent="0.45">
      <c r="A76" s="235" t="s">
        <v>104</v>
      </c>
      <c r="B76" s="331" t="s">
        <v>105</v>
      </c>
      <c r="C76" s="492" t="str">
        <f>B20</f>
        <v xml:space="preserve">Sulfamethoxazole BP </v>
      </c>
      <c r="D76" s="492"/>
      <c r="E76" s="332" t="s">
        <v>106</v>
      </c>
      <c r="F76" s="332"/>
      <c r="G76" s="333">
        <f>H72</f>
        <v>0.9754447204654686</v>
      </c>
      <c r="H76" s="334"/>
    </row>
    <row r="77" spans="1:8" ht="18" x14ac:dyDescent="0.35">
      <c r="A77" s="234" t="s">
        <v>107</v>
      </c>
      <c r="B77" s="234" t="s">
        <v>108</v>
      </c>
    </row>
    <row r="78" spans="1:8" ht="18" x14ac:dyDescent="0.35">
      <c r="A78" s="234"/>
      <c r="B78" s="234"/>
    </row>
    <row r="79" spans="1:8" ht="26.25" customHeight="1" x14ac:dyDescent="0.45">
      <c r="A79" s="235" t="s">
        <v>4</v>
      </c>
      <c r="B79" s="478" t="str">
        <f>B26</f>
        <v>Sulphamethoxazole</v>
      </c>
      <c r="C79" s="478"/>
    </row>
    <row r="80" spans="1:8" ht="26.25" customHeight="1" x14ac:dyDescent="0.45">
      <c r="A80" s="236" t="s">
        <v>46</v>
      </c>
      <c r="B80" s="478" t="str">
        <f>B27</f>
        <v>S12 2</v>
      </c>
      <c r="C80" s="478"/>
    </row>
    <row r="81" spans="1:12" ht="27" customHeight="1" x14ac:dyDescent="0.45">
      <c r="A81" s="236" t="s">
        <v>6</v>
      </c>
      <c r="B81" s="335">
        <f>B28</f>
        <v>99.66</v>
      </c>
    </row>
    <row r="82" spans="1:12" s="8" customFormat="1" ht="27" customHeight="1" x14ac:dyDescent="0.5">
      <c r="A82" s="236" t="s">
        <v>47</v>
      </c>
      <c r="B82" s="238">
        <v>0</v>
      </c>
      <c r="C82" s="469" t="s">
        <v>48</v>
      </c>
      <c r="D82" s="470"/>
      <c r="E82" s="470"/>
      <c r="F82" s="470"/>
      <c r="G82" s="471"/>
      <c r="I82" s="239"/>
      <c r="J82" s="239"/>
      <c r="K82" s="239"/>
      <c r="L82" s="239"/>
    </row>
    <row r="83" spans="1:12" s="8" customFormat="1" ht="19.5" customHeight="1" x14ac:dyDescent="0.35">
      <c r="A83" s="236" t="s">
        <v>49</v>
      </c>
      <c r="B83" s="240">
        <f>B81-B82</f>
        <v>99.66</v>
      </c>
      <c r="C83" s="241"/>
      <c r="D83" s="241"/>
      <c r="E83" s="241"/>
      <c r="F83" s="241"/>
      <c r="G83" s="242"/>
      <c r="I83" s="239"/>
      <c r="J83" s="239"/>
      <c r="K83" s="239"/>
      <c r="L83" s="239"/>
    </row>
    <row r="84" spans="1:12" s="8" customFormat="1" ht="27" customHeight="1" x14ac:dyDescent="0.45">
      <c r="A84" s="236" t="s">
        <v>50</v>
      </c>
      <c r="B84" s="243">
        <v>1</v>
      </c>
      <c r="C84" s="472" t="s">
        <v>109</v>
      </c>
      <c r="D84" s="473"/>
      <c r="E84" s="473"/>
      <c r="F84" s="473"/>
      <c r="G84" s="473"/>
      <c r="H84" s="474"/>
      <c r="I84" s="239"/>
      <c r="J84" s="239"/>
      <c r="K84" s="239"/>
      <c r="L84" s="239"/>
    </row>
    <row r="85" spans="1:12" s="8" customFormat="1" ht="27" customHeight="1" x14ac:dyDescent="0.45">
      <c r="A85" s="236" t="s">
        <v>52</v>
      </c>
      <c r="B85" s="243">
        <v>1</v>
      </c>
      <c r="C85" s="472" t="s">
        <v>110</v>
      </c>
      <c r="D85" s="473"/>
      <c r="E85" s="473"/>
      <c r="F85" s="473"/>
      <c r="G85" s="473"/>
      <c r="H85" s="474"/>
      <c r="I85" s="239"/>
      <c r="J85" s="239"/>
      <c r="K85" s="239"/>
      <c r="L85" s="239"/>
    </row>
    <row r="86" spans="1:12" s="8" customFormat="1" ht="18" x14ac:dyDescent="0.35">
      <c r="A86" s="236"/>
      <c r="B86" s="246"/>
      <c r="C86" s="247"/>
      <c r="D86" s="247"/>
      <c r="E86" s="247"/>
      <c r="F86" s="247"/>
      <c r="G86" s="247"/>
      <c r="H86" s="247"/>
      <c r="I86" s="239"/>
      <c r="J86" s="239"/>
      <c r="K86" s="239"/>
      <c r="L86" s="239"/>
    </row>
    <row r="87" spans="1:12" s="8" customFormat="1" ht="18" x14ac:dyDescent="0.35">
      <c r="A87" s="236" t="s">
        <v>54</v>
      </c>
      <c r="B87" s="248">
        <f>B84/B85</f>
        <v>1</v>
      </c>
      <c r="C87" s="226" t="s">
        <v>55</v>
      </c>
      <c r="D87" s="226"/>
      <c r="E87" s="226"/>
      <c r="F87" s="226"/>
      <c r="G87" s="226"/>
      <c r="I87" s="239"/>
      <c r="J87" s="239"/>
      <c r="K87" s="239"/>
      <c r="L87" s="239"/>
    </row>
    <row r="88" spans="1:12" ht="19.5" customHeight="1" x14ac:dyDescent="0.35">
      <c r="A88" s="234"/>
      <c r="B88" s="234"/>
    </row>
    <row r="89" spans="1:12" ht="27" customHeight="1" x14ac:dyDescent="0.45">
      <c r="A89" s="249" t="s">
        <v>56</v>
      </c>
      <c r="B89" s="250">
        <v>100</v>
      </c>
      <c r="D89" s="336" t="s">
        <v>57</v>
      </c>
      <c r="E89" s="337"/>
      <c r="F89" s="475" t="s">
        <v>58</v>
      </c>
      <c r="G89" s="477"/>
    </row>
    <row r="90" spans="1:12" ht="27" customHeight="1" x14ac:dyDescent="0.45">
      <c r="A90" s="251" t="s">
        <v>59</v>
      </c>
      <c r="B90" s="252">
        <v>1</v>
      </c>
      <c r="C90" s="338" t="s">
        <v>60</v>
      </c>
      <c r="D90" s="254" t="s">
        <v>61</v>
      </c>
      <c r="E90" s="255" t="s">
        <v>62</v>
      </c>
      <c r="F90" s="254" t="s">
        <v>61</v>
      </c>
      <c r="G90" s="339" t="s">
        <v>62</v>
      </c>
      <c r="I90" s="257" t="s">
        <v>63</v>
      </c>
    </row>
    <row r="91" spans="1:12" ht="26.25" customHeight="1" x14ac:dyDescent="0.45">
      <c r="A91" s="251" t="s">
        <v>64</v>
      </c>
      <c r="B91" s="252">
        <v>1</v>
      </c>
      <c r="C91" s="340">
        <v>1</v>
      </c>
      <c r="D91" s="259">
        <v>69829244</v>
      </c>
      <c r="E91" s="260">
        <f>IF(ISBLANK(D91),"-",$D$101/$D$98*D91)</f>
        <v>83544196.628175125</v>
      </c>
      <c r="F91" s="259">
        <v>81647404</v>
      </c>
      <c r="G91" s="261">
        <f>IF(ISBLANK(F91),"-",$D$101/$F$98*F91)</f>
        <v>84727246.836127311</v>
      </c>
      <c r="I91" s="262"/>
    </row>
    <row r="92" spans="1:12" ht="26.25" customHeight="1" x14ac:dyDescent="0.45">
      <c r="A92" s="251" t="s">
        <v>65</v>
      </c>
      <c r="B92" s="252">
        <v>1</v>
      </c>
      <c r="C92" s="324">
        <v>2</v>
      </c>
      <c r="D92" s="264">
        <v>69874879</v>
      </c>
      <c r="E92" s="265">
        <f>IF(ISBLANK(D92),"-",$D$101/$D$98*D92)</f>
        <v>83598794.661817402</v>
      </c>
      <c r="F92" s="264">
        <v>81852751</v>
      </c>
      <c r="G92" s="266">
        <f>IF(ISBLANK(F92),"-",$D$101/$F$98*F92)</f>
        <v>84940339.783406556</v>
      </c>
      <c r="I92" s="479">
        <f>ABS((F96/D96*D95)-F95)/D95</f>
        <v>1.789835893294062E-2</v>
      </c>
    </row>
    <row r="93" spans="1:12" ht="26.25" customHeight="1" x14ac:dyDescent="0.45">
      <c r="A93" s="251" t="s">
        <v>66</v>
      </c>
      <c r="B93" s="252">
        <v>1</v>
      </c>
      <c r="C93" s="324">
        <v>3</v>
      </c>
      <c r="D93" s="264">
        <v>69736026</v>
      </c>
      <c r="E93" s="265">
        <f>IF(ISBLANK(D93),"-",$D$101/$D$98*D93)</f>
        <v>83432669.960046142</v>
      </c>
      <c r="F93" s="264">
        <v>81715694</v>
      </c>
      <c r="G93" s="266">
        <f>IF(ISBLANK(F93),"-",$D$101/$F$98*F93)</f>
        <v>84798112.820873618</v>
      </c>
      <c r="I93" s="479"/>
    </row>
    <row r="94" spans="1:12" ht="27" customHeight="1" x14ac:dyDescent="0.45">
      <c r="A94" s="251" t="s">
        <v>67</v>
      </c>
      <c r="B94" s="252">
        <v>1</v>
      </c>
      <c r="C94" s="341">
        <v>4</v>
      </c>
      <c r="D94" s="269"/>
      <c r="E94" s="270" t="str">
        <f>IF(ISBLANK(D94),"-",$D$101/$D$98*D94)</f>
        <v>-</v>
      </c>
      <c r="F94" s="269"/>
      <c r="G94" s="271" t="str">
        <f>IF(ISBLANK(F94),"-",$D$101/$F$98*F94)</f>
        <v>-</v>
      </c>
      <c r="I94" s="272"/>
    </row>
    <row r="95" spans="1:12" ht="27" customHeight="1" x14ac:dyDescent="0.45">
      <c r="A95" s="251" t="s">
        <v>68</v>
      </c>
      <c r="B95" s="252">
        <v>1</v>
      </c>
      <c r="C95" s="342" t="s">
        <v>69</v>
      </c>
      <c r="D95" s="343">
        <f>AVERAGE(D91:D94)</f>
        <v>69813383</v>
      </c>
      <c r="E95" s="275">
        <f>AVERAGE(E91:E94)</f>
        <v>83525220.416679546</v>
      </c>
      <c r="F95" s="344">
        <f>AVERAGE(F91:F94)</f>
        <v>81738616.333333328</v>
      </c>
      <c r="G95" s="345">
        <f>AVERAGE(G91:G94)</f>
        <v>84821899.813469157</v>
      </c>
    </row>
    <row r="96" spans="1:12" ht="26.25" customHeight="1" x14ac:dyDescent="0.45">
      <c r="A96" s="251" t="s">
        <v>70</v>
      </c>
      <c r="B96" s="237">
        <v>1</v>
      </c>
      <c r="C96" s="346" t="s">
        <v>111</v>
      </c>
      <c r="D96" s="347">
        <f>D43</f>
        <v>14.91</v>
      </c>
      <c r="E96" s="267"/>
      <c r="F96" s="279">
        <f>F43</f>
        <v>17.190000000000001</v>
      </c>
    </row>
    <row r="97" spans="1:10" ht="26.25" customHeight="1" x14ac:dyDescent="0.45">
      <c r="A97" s="251" t="s">
        <v>72</v>
      </c>
      <c r="B97" s="237">
        <v>1</v>
      </c>
      <c r="C97" s="348" t="s">
        <v>112</v>
      </c>
      <c r="D97" s="349">
        <f>D96*$B$87</f>
        <v>14.91</v>
      </c>
      <c r="E97" s="282"/>
      <c r="F97" s="281">
        <f>F96*$B$87</f>
        <v>17.190000000000001</v>
      </c>
    </row>
    <row r="98" spans="1:10" ht="19.5" customHeight="1" x14ac:dyDescent="0.35">
      <c r="A98" s="251" t="s">
        <v>74</v>
      </c>
      <c r="B98" s="350">
        <f>(B97/B96)*(B95/B94)*(B93/B92)*(B91/B90)*B89</f>
        <v>100</v>
      </c>
      <c r="C98" s="348" t="s">
        <v>113</v>
      </c>
      <c r="D98" s="351">
        <f>D97*$B$83/100</f>
        <v>14.859305999999998</v>
      </c>
      <c r="E98" s="285"/>
      <c r="F98" s="284">
        <f>F97*$B$83/100</f>
        <v>17.131554000000001</v>
      </c>
    </row>
    <row r="99" spans="1:10" ht="19.5" customHeight="1" x14ac:dyDescent="0.35">
      <c r="A99" s="480" t="s">
        <v>76</v>
      </c>
      <c r="B99" s="494"/>
      <c r="C99" s="348" t="s">
        <v>114</v>
      </c>
      <c r="D99" s="352">
        <f>D98/$B$98</f>
        <v>0.14859305999999997</v>
      </c>
      <c r="E99" s="285"/>
      <c r="F99" s="288">
        <f>F98/$B$98</f>
        <v>0.17131554000000002</v>
      </c>
      <c r="G99" s="353"/>
      <c r="H99" s="277"/>
    </row>
    <row r="100" spans="1:10" ht="19.5" customHeight="1" x14ac:dyDescent="0.35">
      <c r="A100" s="482"/>
      <c r="B100" s="495"/>
      <c r="C100" s="348" t="s">
        <v>78</v>
      </c>
      <c r="D100" s="354">
        <f>$B$56/$B$116</f>
        <v>0.17777777777777778</v>
      </c>
      <c r="F100" s="293"/>
      <c r="G100" s="355"/>
      <c r="H100" s="277"/>
    </row>
    <row r="101" spans="1:10" ht="18" x14ac:dyDescent="0.35">
      <c r="C101" s="348" t="s">
        <v>79</v>
      </c>
      <c r="D101" s="349">
        <f>D100*$B$98</f>
        <v>17.777777777777779</v>
      </c>
      <c r="F101" s="293"/>
      <c r="G101" s="353"/>
      <c r="H101" s="277"/>
    </row>
    <row r="102" spans="1:10" ht="19.5" customHeight="1" x14ac:dyDescent="0.35">
      <c r="C102" s="356" t="s">
        <v>80</v>
      </c>
      <c r="D102" s="357">
        <f>D101/B34</f>
        <v>17.777777777777779</v>
      </c>
      <c r="F102" s="297"/>
      <c r="G102" s="353"/>
      <c r="H102" s="277"/>
      <c r="J102" s="358"/>
    </row>
    <row r="103" spans="1:10" ht="18" x14ac:dyDescent="0.35">
      <c r="C103" s="359" t="s">
        <v>115</v>
      </c>
      <c r="D103" s="360">
        <f>AVERAGE(E91:E94,G91:G94)</f>
        <v>84173560.115074351</v>
      </c>
      <c r="F103" s="297"/>
      <c r="G103" s="361"/>
      <c r="H103" s="277"/>
      <c r="J103" s="362"/>
    </row>
    <row r="104" spans="1:10" ht="18" x14ac:dyDescent="0.35">
      <c r="C104" s="327" t="s">
        <v>82</v>
      </c>
      <c r="D104" s="363">
        <f>STDEV(E91:E94,G91:G94)/D103</f>
        <v>8.5007203264760162E-3</v>
      </c>
      <c r="F104" s="297"/>
      <c r="G104" s="353"/>
      <c r="H104" s="277"/>
      <c r="J104" s="362"/>
    </row>
    <row r="105" spans="1:10" ht="19.5" customHeight="1" x14ac:dyDescent="0.35">
      <c r="C105" s="329" t="s">
        <v>18</v>
      </c>
      <c r="D105" s="364">
        <f>COUNT(E91:E94,G91:G94)</f>
        <v>6</v>
      </c>
      <c r="F105" s="297"/>
      <c r="G105" s="353"/>
      <c r="H105" s="277"/>
      <c r="J105" s="362"/>
    </row>
    <row r="106" spans="1:10" ht="19.5" customHeight="1" x14ac:dyDescent="0.35">
      <c r="A106" s="301"/>
      <c r="B106" s="301"/>
      <c r="C106" s="301"/>
      <c r="D106" s="301"/>
      <c r="E106" s="301"/>
    </row>
    <row r="107" spans="1:10" ht="26.25" customHeight="1" x14ac:dyDescent="0.45">
      <c r="A107" s="249" t="s">
        <v>116</v>
      </c>
      <c r="B107" s="250">
        <v>900</v>
      </c>
      <c r="C107" s="365" t="s">
        <v>117</v>
      </c>
      <c r="D107" s="366" t="s">
        <v>61</v>
      </c>
      <c r="E107" s="367" t="s">
        <v>118</v>
      </c>
      <c r="F107" s="368" t="s">
        <v>119</v>
      </c>
    </row>
    <row r="108" spans="1:10" ht="26.25" customHeight="1" x14ac:dyDescent="0.45">
      <c r="A108" s="251" t="s">
        <v>120</v>
      </c>
      <c r="B108" s="252">
        <v>5</v>
      </c>
      <c r="C108" s="369">
        <v>1</v>
      </c>
      <c r="D108" s="370">
        <v>73119851</v>
      </c>
      <c r="E108" s="401">
        <f t="shared" ref="E108:E113" si="1">IF(ISBLANK(D108),"-",D108/$D$103*$D$100*$B$116)</f>
        <v>694.94364643754898</v>
      </c>
      <c r="F108" s="371">
        <f t="shared" ref="F108:F113" si="2">IF(ISBLANK(D108), "-", E108/$B$56)</f>
        <v>0.8686795580469362</v>
      </c>
    </row>
    <row r="109" spans="1:10" ht="26.25" customHeight="1" x14ac:dyDescent="0.45">
      <c r="A109" s="251" t="s">
        <v>93</v>
      </c>
      <c r="B109" s="252">
        <v>25</v>
      </c>
      <c r="C109" s="369">
        <v>2</v>
      </c>
      <c r="D109" s="370">
        <v>73064406</v>
      </c>
      <c r="E109" s="402">
        <f t="shared" si="1"/>
        <v>694.41668761652056</v>
      </c>
      <c r="F109" s="372">
        <f t="shared" si="2"/>
        <v>0.86802085952065067</v>
      </c>
    </row>
    <row r="110" spans="1:10" ht="26.25" customHeight="1" x14ac:dyDescent="0.45">
      <c r="A110" s="251" t="s">
        <v>94</v>
      </c>
      <c r="B110" s="252">
        <v>1</v>
      </c>
      <c r="C110" s="369">
        <v>3</v>
      </c>
      <c r="D110" s="370">
        <v>73205728</v>
      </c>
      <c r="E110" s="402">
        <f t="shared" si="1"/>
        <v>695.75983622334491</v>
      </c>
      <c r="F110" s="372">
        <f t="shared" si="2"/>
        <v>0.86969979527918118</v>
      </c>
    </row>
    <row r="111" spans="1:10" ht="26.25" customHeight="1" x14ac:dyDescent="0.45">
      <c r="A111" s="251" t="s">
        <v>95</v>
      </c>
      <c r="B111" s="252">
        <v>1</v>
      </c>
      <c r="C111" s="369">
        <v>4</v>
      </c>
      <c r="D111" s="370">
        <v>73003602</v>
      </c>
      <c r="E111" s="402">
        <f t="shared" si="1"/>
        <v>693.83879593731035</v>
      </c>
      <c r="F111" s="372">
        <f t="shared" si="2"/>
        <v>0.86729849492163791</v>
      </c>
    </row>
    <row r="112" spans="1:10" ht="26.25" customHeight="1" x14ac:dyDescent="0.45">
      <c r="A112" s="251" t="s">
        <v>96</v>
      </c>
      <c r="B112" s="252">
        <v>1</v>
      </c>
      <c r="C112" s="369">
        <v>5</v>
      </c>
      <c r="D112" s="370">
        <v>73046796</v>
      </c>
      <c r="E112" s="402">
        <f t="shared" si="1"/>
        <v>694.24931914617503</v>
      </c>
      <c r="F112" s="372">
        <f t="shared" si="2"/>
        <v>0.86781164893271878</v>
      </c>
    </row>
    <row r="113" spans="1:10" ht="26.25" customHeight="1" x14ac:dyDescent="0.45">
      <c r="A113" s="251" t="s">
        <v>98</v>
      </c>
      <c r="B113" s="252">
        <v>1</v>
      </c>
      <c r="C113" s="373">
        <v>6</v>
      </c>
      <c r="D113" s="374">
        <v>73050756</v>
      </c>
      <c r="E113" s="403">
        <f t="shared" si="1"/>
        <v>694.28695566761564</v>
      </c>
      <c r="F113" s="375">
        <f t="shared" si="2"/>
        <v>0.86785869458451959</v>
      </c>
    </row>
    <row r="114" spans="1:10" ht="26.25" customHeight="1" x14ac:dyDescent="0.45">
      <c r="A114" s="251" t="s">
        <v>99</v>
      </c>
      <c r="B114" s="252">
        <v>1</v>
      </c>
      <c r="C114" s="369"/>
      <c r="D114" s="324"/>
      <c r="E114" s="225"/>
      <c r="F114" s="376"/>
    </row>
    <row r="115" spans="1:10" ht="26.25" customHeight="1" x14ac:dyDescent="0.45">
      <c r="A115" s="251" t="s">
        <v>100</v>
      </c>
      <c r="B115" s="252">
        <v>1</v>
      </c>
      <c r="C115" s="369"/>
      <c r="D115" s="377" t="s">
        <v>69</v>
      </c>
      <c r="E115" s="405">
        <f>AVERAGE(E108:E113)</f>
        <v>694.58254017141917</v>
      </c>
      <c r="F115" s="378">
        <f>AVERAGE(F108:F113)</f>
        <v>0.86822817521427409</v>
      </c>
    </row>
    <row r="116" spans="1:10" ht="27" customHeight="1" x14ac:dyDescent="0.45">
      <c r="A116" s="251" t="s">
        <v>101</v>
      </c>
      <c r="B116" s="283">
        <f>(B115/B114)*(B113/B112)*(B111/B110)*(B109/B108)*B107</f>
        <v>4500</v>
      </c>
      <c r="C116" s="379"/>
      <c r="D116" s="342" t="s">
        <v>82</v>
      </c>
      <c r="E116" s="380">
        <f>STDEV(E108:E113)/E115</f>
        <v>9.7550409540363115E-4</v>
      </c>
      <c r="F116" s="380">
        <f>STDEV(F108:F113)/F115</f>
        <v>9.7550409540365219E-4</v>
      </c>
      <c r="I116" s="225"/>
    </row>
    <row r="117" spans="1:10" ht="27" customHeight="1" x14ac:dyDescent="0.45">
      <c r="A117" s="480" t="s">
        <v>76</v>
      </c>
      <c r="B117" s="481"/>
      <c r="C117" s="381"/>
      <c r="D117" s="382" t="s">
        <v>18</v>
      </c>
      <c r="E117" s="383">
        <f>COUNT(E108:E113)</f>
        <v>6</v>
      </c>
      <c r="F117" s="383">
        <f>COUNT(F108:F113)</f>
        <v>6</v>
      </c>
      <c r="I117" s="225"/>
      <c r="J117" s="362"/>
    </row>
    <row r="118" spans="1:10" ht="19.5" customHeight="1" x14ac:dyDescent="0.35">
      <c r="A118" s="482"/>
      <c r="B118" s="483"/>
      <c r="C118" s="225"/>
      <c r="D118" s="225"/>
      <c r="E118" s="225"/>
      <c r="F118" s="324"/>
      <c r="G118" s="225"/>
      <c r="H118" s="225"/>
      <c r="I118" s="225"/>
    </row>
    <row r="119" spans="1:10" ht="18" x14ac:dyDescent="0.35">
      <c r="A119" s="392"/>
      <c r="B119" s="247"/>
      <c r="C119" s="225"/>
      <c r="D119" s="225"/>
      <c r="E119" s="225"/>
      <c r="F119" s="324"/>
      <c r="G119" s="225"/>
      <c r="H119" s="225"/>
      <c r="I119" s="225"/>
    </row>
    <row r="120" spans="1:10" ht="26.25" customHeight="1" x14ac:dyDescent="0.45">
      <c r="A120" s="235" t="s">
        <v>104</v>
      </c>
      <c r="B120" s="331" t="s">
        <v>121</v>
      </c>
      <c r="C120" s="492" t="str">
        <f>B20</f>
        <v xml:space="preserve">Sulfamethoxazole BP </v>
      </c>
      <c r="D120" s="492"/>
      <c r="E120" s="332" t="s">
        <v>122</v>
      </c>
      <c r="F120" s="332"/>
      <c r="G120" s="333">
        <f>F115</f>
        <v>0.86822817521427409</v>
      </c>
      <c r="H120" s="225"/>
      <c r="I120" s="225"/>
    </row>
    <row r="121" spans="1:10" ht="19.5" customHeight="1" x14ac:dyDescent="0.35">
      <c r="A121" s="384"/>
      <c r="B121" s="384"/>
      <c r="C121" s="385"/>
      <c r="D121" s="385"/>
      <c r="E121" s="385"/>
      <c r="F121" s="385"/>
      <c r="G121" s="385"/>
      <c r="H121" s="385"/>
    </row>
    <row r="122" spans="1:10" ht="18" x14ac:dyDescent="0.35">
      <c r="B122" s="493" t="s">
        <v>24</v>
      </c>
      <c r="C122" s="493"/>
      <c r="E122" s="338" t="s">
        <v>25</v>
      </c>
      <c r="F122" s="386"/>
      <c r="G122" s="493" t="s">
        <v>26</v>
      </c>
      <c r="H122" s="493"/>
    </row>
    <row r="123" spans="1:10" ht="69.900000000000006" customHeight="1" x14ac:dyDescent="0.35">
      <c r="A123" s="387" t="s">
        <v>27</v>
      </c>
      <c r="B123" s="388"/>
      <c r="C123" s="388"/>
      <c r="E123" s="388"/>
      <c r="F123" s="225"/>
      <c r="G123" s="389"/>
      <c r="H123" s="389"/>
    </row>
    <row r="124" spans="1:10" ht="69.900000000000006" customHeight="1" x14ac:dyDescent="0.35">
      <c r="A124" s="387" t="s">
        <v>28</v>
      </c>
      <c r="B124" s="390"/>
      <c r="C124" s="390"/>
      <c r="E124" s="390"/>
      <c r="F124" s="225"/>
      <c r="G124" s="391"/>
      <c r="H124" s="391"/>
    </row>
    <row r="125" spans="1:10" ht="18" x14ac:dyDescent="0.35">
      <c r="A125" s="323"/>
      <c r="B125" s="323"/>
      <c r="C125" s="324"/>
      <c r="D125" s="324"/>
      <c r="E125" s="324"/>
      <c r="F125" s="328"/>
      <c r="G125" s="324"/>
      <c r="H125" s="324"/>
      <c r="I125" s="225"/>
    </row>
    <row r="126" spans="1:10" ht="18" x14ac:dyDescent="0.35">
      <c r="A126" s="323"/>
      <c r="B126" s="323"/>
      <c r="C126" s="324"/>
      <c r="D126" s="324"/>
      <c r="E126" s="324"/>
      <c r="F126" s="328"/>
      <c r="G126" s="324"/>
      <c r="H126" s="324"/>
      <c r="I126" s="225"/>
    </row>
    <row r="127" spans="1:10" ht="18" x14ac:dyDescent="0.35">
      <c r="A127" s="323"/>
      <c r="B127" s="323"/>
      <c r="C127" s="324"/>
      <c r="D127" s="324"/>
      <c r="E127" s="324"/>
      <c r="F127" s="328"/>
      <c r="G127" s="324"/>
      <c r="H127" s="324"/>
      <c r="I127" s="225"/>
    </row>
    <row r="128" spans="1:10" ht="18" x14ac:dyDescent="0.35">
      <c r="A128" s="323"/>
      <c r="B128" s="323"/>
      <c r="C128" s="324"/>
      <c r="D128" s="324"/>
      <c r="E128" s="324"/>
      <c r="F128" s="328"/>
      <c r="G128" s="324"/>
      <c r="H128" s="324"/>
      <c r="I128" s="225"/>
    </row>
    <row r="129" spans="1:9" ht="18" x14ac:dyDescent="0.35">
      <c r="A129" s="323"/>
      <c r="B129" s="323"/>
      <c r="C129" s="324"/>
      <c r="D129" s="324"/>
      <c r="E129" s="324"/>
      <c r="F129" s="328"/>
      <c r="G129" s="324"/>
      <c r="H129" s="324"/>
      <c r="I129" s="225"/>
    </row>
    <row r="130" spans="1:9" ht="18" x14ac:dyDescent="0.35">
      <c r="A130" s="323"/>
      <c r="B130" s="323"/>
      <c r="C130" s="324"/>
      <c r="D130" s="324"/>
      <c r="E130" s="324"/>
      <c r="F130" s="328"/>
      <c r="G130" s="324"/>
      <c r="H130" s="324"/>
      <c r="I130" s="225"/>
    </row>
    <row r="131" spans="1:9" ht="18" x14ac:dyDescent="0.35">
      <c r="A131" s="323"/>
      <c r="B131" s="323"/>
      <c r="C131" s="324"/>
      <c r="D131" s="324"/>
      <c r="E131" s="324"/>
      <c r="F131" s="328"/>
      <c r="G131" s="324"/>
      <c r="H131" s="324"/>
      <c r="I131" s="225"/>
    </row>
    <row r="132" spans="1:9" ht="18" x14ac:dyDescent="0.35">
      <c r="A132" s="323"/>
      <c r="B132" s="323"/>
      <c r="C132" s="324"/>
      <c r="D132" s="324"/>
      <c r="E132" s="324"/>
      <c r="F132" s="328"/>
      <c r="G132" s="324"/>
      <c r="H132" s="324"/>
      <c r="I132" s="225"/>
    </row>
    <row r="133" spans="1:9" ht="18" x14ac:dyDescent="0.35">
      <c r="A133" s="323"/>
      <c r="B133" s="323"/>
      <c r="C133" s="324"/>
      <c r="D133" s="324"/>
      <c r="E133" s="324"/>
      <c r="F133" s="328"/>
      <c r="G133" s="324"/>
      <c r="H133" s="324"/>
      <c r="I133" s="22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</vt:lpstr>
      <vt:lpstr>SST S</vt:lpstr>
      <vt:lpstr>Uniformity (2)</vt:lpstr>
      <vt:lpstr>Trimethoprim</vt:lpstr>
      <vt:lpstr>Sulphamethoxazole</vt:lpstr>
      <vt:lpstr>Sulphamethoxazole!Print_Area</vt:lpstr>
      <vt:lpstr>Trimethoprim!Print_Area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2016-06-25T13:57:05Z</cp:lastPrinted>
  <dcterms:created xsi:type="dcterms:W3CDTF">2005-07-05T10:19:27Z</dcterms:created>
  <dcterms:modified xsi:type="dcterms:W3CDTF">2016-06-25T13:58:33Z</dcterms:modified>
</cp:coreProperties>
</file>