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4055" windowHeight="6090" activeTab="2"/>
  </bookViews>
  <sheets>
    <sheet name="SST (2)" sheetId="5" r:id="rId1"/>
    <sheet name="Uniformity" sheetId="2" r:id="rId2"/>
    <sheet name="Nevirapine" sheetId="3" r:id="rId3"/>
    <sheet name="Sheet1" sheetId="4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F21" i="4" l="1"/>
  <c r="F24" i="4"/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D50" i="2" s="1"/>
  <c r="C45" i="2"/>
  <c r="D43" i="2"/>
  <c r="D41" i="2"/>
  <c r="D39" i="2"/>
  <c r="D37" i="2"/>
  <c r="D35" i="2"/>
  <c r="D34" i="2"/>
  <c r="D33" i="2"/>
  <c r="D31" i="2"/>
  <c r="D30" i="2"/>
  <c r="D29" i="2"/>
  <c r="D27" i="2"/>
  <c r="D26" i="2"/>
  <c r="D25" i="2"/>
  <c r="C19" i="2"/>
  <c r="I92" i="3" l="1"/>
  <c r="D101" i="3"/>
  <c r="I39" i="3"/>
  <c r="F44" i="3"/>
  <c r="D49" i="3"/>
  <c r="D45" i="3"/>
  <c r="E40" i="3" s="1"/>
  <c r="F98" i="3"/>
  <c r="F99" i="3" s="1"/>
  <c r="F45" i="3"/>
  <c r="G38" i="3" s="1"/>
  <c r="D102" i="3"/>
  <c r="G91" i="3"/>
  <c r="G94" i="3"/>
  <c r="D24" i="2"/>
  <c r="D28" i="2"/>
  <c r="D32" i="2"/>
  <c r="D36" i="2"/>
  <c r="D40" i="2"/>
  <c r="D49" i="2"/>
  <c r="B57" i="3"/>
  <c r="B69" i="3" s="1"/>
  <c r="C50" i="2"/>
  <c r="D97" i="3"/>
  <c r="D98" i="3" s="1"/>
  <c r="D99" i="3" s="1"/>
  <c r="D38" i="2"/>
  <c r="D42" i="2"/>
  <c r="B49" i="2"/>
  <c r="G93" i="3" l="1"/>
  <c r="G92" i="3"/>
  <c r="G95" i="3" s="1"/>
  <c r="F46" i="3"/>
  <c r="E41" i="3"/>
  <c r="E39" i="3"/>
  <c r="G40" i="3"/>
  <c r="D46" i="3"/>
  <c r="G39" i="3"/>
  <c r="G41" i="3"/>
  <c r="E38" i="3"/>
  <c r="E92" i="3"/>
  <c r="E94" i="3"/>
  <c r="E91" i="3"/>
  <c r="E93" i="3"/>
  <c r="D52" i="3" l="1"/>
  <c r="D50" i="3"/>
  <c r="G61" i="3" s="1"/>
  <c r="H61" i="3" s="1"/>
  <c r="G42" i="3"/>
  <c r="E42" i="3"/>
  <c r="G70" i="3"/>
  <c r="H70" i="3" s="1"/>
  <c r="G67" i="3"/>
  <c r="H67" i="3" s="1"/>
  <c r="G71" i="3"/>
  <c r="H71" i="3" s="1"/>
  <c r="G69" i="3"/>
  <c r="H69" i="3" s="1"/>
  <c r="G66" i="3"/>
  <c r="H66" i="3" s="1"/>
  <c r="G64" i="3"/>
  <c r="H64" i="3" s="1"/>
  <c r="G60" i="3"/>
  <c r="G63" i="3"/>
  <c r="H63" i="3" s="1"/>
  <c r="G65" i="3"/>
  <c r="H65" i="3" s="1"/>
  <c r="E95" i="3"/>
  <c r="D105" i="3"/>
  <c r="D103" i="3"/>
  <c r="G62" i="3" l="1"/>
  <c r="H62" i="3" s="1"/>
  <c r="G68" i="3"/>
  <c r="H68" i="3" s="1"/>
  <c r="D51" i="3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H60" i="3"/>
  <c r="G72" i="3" l="1"/>
  <c r="G73" i="3" s="1"/>
  <c r="G74" i="3"/>
  <c r="H74" i="3"/>
  <c r="H72" i="3"/>
  <c r="E115" i="3"/>
  <c r="E116" i="3" s="1"/>
  <c r="E117" i="3"/>
  <c r="F108" i="3"/>
  <c r="F115" i="3" l="1"/>
  <c r="F117" i="3"/>
  <c r="G76" i="3"/>
  <c r="H73" i="3"/>
  <c r="G120" i="3" l="1"/>
  <c r="F116" i="3"/>
</calcChain>
</file>

<file path=xl/sharedStrings.xml><?xml version="1.0" encoding="utf-8"?>
<sst xmlns="http://schemas.openxmlformats.org/spreadsheetml/2006/main" count="232" uniqueCount="129">
  <si>
    <t>HPLC System Suitability Report</t>
  </si>
  <si>
    <t>Analysis Data</t>
  </si>
  <si>
    <t>Assay</t>
  </si>
  <si>
    <t>Sample(s)</t>
  </si>
  <si>
    <t>Reference Substance:</t>
  </si>
  <si>
    <t xml:space="preserve">NEVIRAPINE TABLETS USP 200MG </t>
  </si>
  <si>
    <t>% age Purity:</t>
  </si>
  <si>
    <t>NDQB201605975</t>
  </si>
  <si>
    <t>Weight (mg):</t>
  </si>
  <si>
    <t>Nevirapine USP</t>
  </si>
  <si>
    <t>Standard Conc (mg/mL):</t>
  </si>
  <si>
    <t>Each tablet contains: 200 mg of Nevirapine USP.</t>
  </si>
  <si>
    <t>2016-05-27 07:41:49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</si>
  <si>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</si>
  <si>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</si>
  <si>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</si>
  <si>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</si>
  <si>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</si>
  <si>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</si>
  <si>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</si>
  <si>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</si>
  <si>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</si>
  <si>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</si>
  <si>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</si>
  <si>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</si>
  <si>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</si>
  <si>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</si>
  <si>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</si>
  <si>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</si>
  <si>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</si>
  <si>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</si>
  <si>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</si>
  <si>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</si>
  <si>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</si>
  <si>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</si>
  <si>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</si>
  <si>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</si>
  <si>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</si>
  <si>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</si>
  <si>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</si>
  <si>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</si>
  <si>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</si>
  <si>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</si>
  <si>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</si>
  <si>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</si>
  <si>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</si>
  <si>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</si>
  <si>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</si>
  <si>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</si>
  <si>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</si>
  <si>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</si>
  <si>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</si>
  <si>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</si>
  <si>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</si>
  <si>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</si>
  <si>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</si>
  <si>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</si>
  <si>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</si>
  <si>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</si>
  <si>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</si>
  <si>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</si>
  <si>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</si>
  <si>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</si>
  <si>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</si>
  <si>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</si>
  <si>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</si>
  <si>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</si>
  <si>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</si>
  <si>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</si>
  <si>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</si>
  <si>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</si>
  <si>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</si>
  <si>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</si>
  <si>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</si>
  <si>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</si>
  <si>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</si>
  <si>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</si>
  <si>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</si>
  <si>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</si>
  <si>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</si>
  <si>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</si>
  <si>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</si>
  <si>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</si>
  <si>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</si>
  <si>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</si>
  <si>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</si>
  <si>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</si>
  <si>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</si>
  <si>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</si>
  <si>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</si>
  <si>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</si>
  <si>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</si>
  <si>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</si>
  <si>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</si>
  <si>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</si>
  <si>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</si>
  <si>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</si>
  <si>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</si>
  <si>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</si>
  <si>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</si>
  <si>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</si>
  <si>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</si>
  <si>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</si>
  <si>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</si>
  <si>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</si>
  <si>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</si>
  <si>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</si>
  <si>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</si>
  <si>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</si>
  <si>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</si>
  <si>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</si>
  <si>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</si>
  <si>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</si>
  <si>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</si>
  <si>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</si>
  <si>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</si>
  <si>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</si>
  <si>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</si>
  <si>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</si>
  <si>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</si>
  <si>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</si>
  <si>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</si>
  <si>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</si>
  <si>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N1-2</t>
  </si>
  <si>
    <t>NDQB201605958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</si>
  <si>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</si>
  <si>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</si>
  <si>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</si>
  <si>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NDQB201605957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</si>
</sst>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20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32" fillId="2" borderId="0"/>
  </cellStyleXfs>
  <cellXfs count="32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23" fillId="3" borderId="29" xfId="0" applyFont="1" applyFill="1" applyBorder="1" applyAlignment="1" applyProtection="1">
      <alignment horizontal="center"/>
      <protection locked="0"/>
    </xf>
    <xf numFmtId="0" fontId="23" fillId="3" borderId="23" xfId="0" applyFont="1" applyFill="1" applyBorder="1" applyAlignment="1" applyProtection="1">
      <alignment horizontal="center"/>
      <protection locked="0"/>
    </xf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0" fontId="25" fillId="2" borderId="0" xfId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22" fontId="30" fillId="2" borderId="0" xfId="1" applyNumberFormat="1" applyFont="1" applyFill="1"/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0" fillId="2" borderId="0" xfId="1" applyFont="1" applyFill="1"/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  <xf numFmtId="0" fontId="27" fillId="2" borderId="0" xfId="1" applyFont="1" applyFill="1" applyAlignment="1">
      <alignment horizontal="center"/>
    </xf>
    <xf numFmtId="0" fontId="25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9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</cellXfs>
  <cellStyles count="3">
    <cellStyle name="Normal" xfId="0" builtinId="0"/>
    <cellStyle name="Normal 2" xfId="2"/>
    <cellStyle name="Normal 3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5" sqref="A15:G62"/>
    </sheetView>
  </sheetViews>
  <sheetFormatPr defaultRowHeight="13.5" x14ac:dyDescent="0.25"/>
  <cols>
    <col min="1" max="1" width="27.5703125" style="235" customWidth="1"/>
    <col min="2" max="2" width="20.42578125" style="235" customWidth="1"/>
    <col min="3" max="3" width="31.85546875" style="235" customWidth="1"/>
    <col min="4" max="4" width="25.85546875" style="235" customWidth="1"/>
    <col min="5" max="5" width="25.7109375" style="235" customWidth="1"/>
    <col min="6" max="6" width="23.140625" style="235" customWidth="1"/>
    <col min="7" max="7" width="28.42578125" style="235" customWidth="1"/>
    <col min="8" max="8" width="21.5703125" style="235" customWidth="1"/>
    <col min="9" max="9" width="9.140625" style="235" customWidth="1"/>
    <col min="10" max="16384" width="9.140625" style="273"/>
  </cols>
  <sheetData>
    <row r="14" spans="1:6" ht="15" customHeight="1" x14ac:dyDescent="0.3">
      <c r="A14" s="234"/>
      <c r="C14" s="236"/>
      <c r="F14" s="236"/>
    </row>
    <row r="15" spans="1:6" ht="18.75" customHeight="1" x14ac:dyDescent="0.3">
      <c r="A15" s="280" t="s">
        <v>0</v>
      </c>
      <c r="B15" s="280"/>
      <c r="C15" s="280"/>
      <c r="D15" s="280"/>
      <c r="E15" s="280"/>
    </row>
    <row r="16" spans="1:6" ht="16.5" customHeight="1" x14ac:dyDescent="0.3">
      <c r="A16" s="237" t="s">
        <v>1</v>
      </c>
      <c r="B16" s="238" t="s">
        <v>2</v>
      </c>
    </row>
    <row r="17" spans="1:5" ht="16.5" customHeight="1" x14ac:dyDescent="0.3">
      <c r="A17" s="239" t="s">
        <v>3</v>
      </c>
      <c r="B17" s="239" t="s">
        <v>5</v>
      </c>
      <c r="D17" s="240"/>
      <c r="E17" s="241"/>
    </row>
    <row r="18" spans="1:5" ht="16.5" customHeight="1" x14ac:dyDescent="0.3">
      <c r="A18" s="242" t="s">
        <v>4</v>
      </c>
      <c r="B18" s="243" t="s">
        <v>124</v>
      </c>
      <c r="C18" s="241"/>
      <c r="D18" s="241"/>
      <c r="E18" s="241"/>
    </row>
    <row r="19" spans="1:5" ht="16.5" customHeight="1" x14ac:dyDescent="0.3">
      <c r="A19" s="242" t="s">
        <v>6</v>
      </c>
      <c r="B19" s="244">
        <v>99.15</v>
      </c>
      <c r="C19" s="241"/>
      <c r="D19" s="241"/>
      <c r="E19" s="241"/>
    </row>
    <row r="20" spans="1:5" ht="16.5" customHeight="1" x14ac:dyDescent="0.3">
      <c r="A20" s="239" t="s">
        <v>8</v>
      </c>
      <c r="B20" s="243">
        <v>24.04</v>
      </c>
      <c r="C20" s="241"/>
      <c r="D20" s="241"/>
      <c r="E20" s="241"/>
    </row>
    <row r="21" spans="1:5" ht="16.5" customHeight="1" x14ac:dyDescent="0.3">
      <c r="A21" s="239" t="s">
        <v>10</v>
      </c>
      <c r="B21" s="245">
        <f>B20/50*5/100</f>
        <v>2.4039999999999999E-2</v>
      </c>
      <c r="C21" s="241"/>
      <c r="D21" s="241"/>
      <c r="E21" s="241"/>
    </row>
    <row r="22" spans="1:5" ht="15.75" customHeight="1" x14ac:dyDescent="0.25">
      <c r="A22" s="241"/>
      <c r="B22" s="246">
        <v>42535.566840277781</v>
      </c>
      <c r="C22" s="241"/>
      <c r="D22" s="241"/>
      <c r="E22" s="241"/>
    </row>
    <row r="23" spans="1:5" ht="16.5" customHeight="1" x14ac:dyDescent="0.3">
      <c r="A23" s="247" t="s">
        <v>13</v>
      </c>
      <c r="B23" s="248" t="s">
        <v>14</v>
      </c>
      <c r="C23" s="247" t="s">
        <v>15</v>
      </c>
      <c r="D23" s="247" t="s">
        <v>16</v>
      </c>
      <c r="E23" s="247" t="s">
        <v>17</v>
      </c>
    </row>
    <row r="24" spans="1:5" ht="16.5" customHeight="1" x14ac:dyDescent="0.3">
      <c r="A24" s="249">
        <v>1</v>
      </c>
      <c r="B24" s="250">
        <v>181672338</v>
      </c>
      <c r="C24" s="250">
        <v>5591.4</v>
      </c>
      <c r="D24" s="251">
        <v>1.1000000000000001</v>
      </c>
      <c r="E24" s="252">
        <v>4.9000000000000004</v>
      </c>
    </row>
    <row r="25" spans="1:5" ht="16.5" customHeight="1" x14ac:dyDescent="0.3">
      <c r="A25" s="249">
        <v>2</v>
      </c>
      <c r="B25" s="250">
        <v>181089473</v>
      </c>
      <c r="C25" s="250">
        <v>5618.8</v>
      </c>
      <c r="D25" s="251">
        <v>1.1000000000000001</v>
      </c>
      <c r="E25" s="251">
        <v>4.9000000000000004</v>
      </c>
    </row>
    <row r="26" spans="1:5" ht="16.5" customHeight="1" x14ac:dyDescent="0.3">
      <c r="A26" s="249">
        <v>3</v>
      </c>
      <c r="B26" s="250">
        <v>180042849</v>
      </c>
      <c r="C26" s="250">
        <v>5568.3</v>
      </c>
      <c r="D26" s="251">
        <v>1.1000000000000001</v>
      </c>
      <c r="E26" s="251">
        <v>4.9000000000000004</v>
      </c>
    </row>
    <row r="27" spans="1:5" ht="16.5" customHeight="1" x14ac:dyDescent="0.3">
      <c r="A27" s="249">
        <v>4</v>
      </c>
      <c r="B27" s="250">
        <v>180321210</v>
      </c>
      <c r="C27" s="250">
        <v>5560.2</v>
      </c>
      <c r="D27" s="251">
        <v>1.1000000000000001</v>
      </c>
      <c r="E27" s="251">
        <v>4.9000000000000004</v>
      </c>
    </row>
    <row r="28" spans="1:5" ht="16.5" customHeight="1" x14ac:dyDescent="0.3">
      <c r="A28" s="249">
        <v>5</v>
      </c>
      <c r="B28" s="250">
        <v>180754097</v>
      </c>
      <c r="C28" s="250">
        <v>5531.5</v>
      </c>
      <c r="D28" s="251">
        <v>1.1000000000000001</v>
      </c>
      <c r="E28" s="251">
        <v>4.9000000000000004</v>
      </c>
    </row>
    <row r="29" spans="1:5" ht="16.5" customHeight="1" x14ac:dyDescent="0.3">
      <c r="A29" s="249">
        <v>6</v>
      </c>
      <c r="B29" s="253">
        <v>182179792</v>
      </c>
      <c r="C29" s="253">
        <v>5580.3</v>
      </c>
      <c r="D29" s="254">
        <v>1.1000000000000001</v>
      </c>
      <c r="E29" s="254">
        <v>4.9000000000000004</v>
      </c>
    </row>
    <row r="30" spans="1:5" ht="16.5" customHeight="1" x14ac:dyDescent="0.3">
      <c r="A30" s="255" t="s">
        <v>18</v>
      </c>
      <c r="B30" s="256">
        <f>AVERAGE(B24:B29)</f>
        <v>181009959.83333334</v>
      </c>
      <c r="C30" s="257">
        <f>AVERAGE(C24:C29)</f>
        <v>5575.083333333333</v>
      </c>
      <c r="D30" s="258">
        <f>AVERAGE(D24:D29)</f>
        <v>1.0999999999999999</v>
      </c>
      <c r="E30" s="258">
        <f>AVERAGE(E24:E29)</f>
        <v>4.8999999999999995</v>
      </c>
    </row>
    <row r="31" spans="1:5" ht="16.5" customHeight="1" x14ac:dyDescent="0.3">
      <c r="A31" s="259" t="s">
        <v>19</v>
      </c>
      <c r="B31" s="260">
        <f>(STDEV(B24:B29)/B30)</f>
        <v>4.4804947539469073E-3</v>
      </c>
      <c r="C31" s="261"/>
      <c r="D31" s="261"/>
      <c r="E31" s="262"/>
    </row>
    <row r="32" spans="1:5" s="235" customFormat="1" ht="16.5" customHeight="1" x14ac:dyDescent="0.3">
      <c r="A32" s="263" t="s">
        <v>20</v>
      </c>
      <c r="B32" s="264">
        <f>COUNT(B24:B29)</f>
        <v>6</v>
      </c>
      <c r="C32" s="265"/>
      <c r="D32" s="266"/>
      <c r="E32" s="267"/>
    </row>
    <row r="33" spans="1:5" s="235" customFormat="1" ht="15.75" customHeight="1" x14ac:dyDescent="0.25">
      <c r="A33" s="241"/>
      <c r="B33" s="241"/>
      <c r="C33" s="241"/>
      <c r="D33" s="241"/>
      <c r="E33" s="241"/>
    </row>
    <row r="34" spans="1:5" s="235" customFormat="1" ht="16.5" customHeight="1" x14ac:dyDescent="0.3">
      <c r="A34" s="242" t="s">
        <v>21</v>
      </c>
      <c r="B34" s="268" t="s">
        <v>125</v>
      </c>
      <c r="C34" s="269"/>
      <c r="D34" s="269"/>
      <c r="E34" s="269"/>
    </row>
    <row r="35" spans="1:5" ht="16.5" customHeight="1" x14ac:dyDescent="0.3">
      <c r="A35" s="242"/>
      <c r="B35" s="268" t="s">
        <v>126</v>
      </c>
      <c r="C35" s="269"/>
      <c r="D35" s="269"/>
      <c r="E35" s="269"/>
    </row>
    <row r="36" spans="1:5" ht="16.5" customHeight="1" x14ac:dyDescent="0.3">
      <c r="A36" s="242"/>
      <c r="B36" s="268" t="s">
        <v>127</v>
      </c>
      <c r="C36" s="269"/>
      <c r="D36" s="269"/>
      <c r="E36" s="269"/>
    </row>
    <row r="37" spans="1:5" ht="15.75" customHeight="1" x14ac:dyDescent="0.25">
      <c r="A37" s="241"/>
      <c r="B37" s="241"/>
      <c r="C37" s="241"/>
      <c r="D37" s="241"/>
      <c r="E37" s="241"/>
    </row>
    <row r="38" spans="1:5" ht="16.5" customHeight="1" x14ac:dyDescent="0.3">
      <c r="A38" s="237" t="s">
        <v>1</v>
      </c>
      <c r="B38" s="238" t="s">
        <v>22</v>
      </c>
    </row>
    <row r="39" spans="1:5" ht="16.5" customHeight="1" x14ac:dyDescent="0.3">
      <c r="A39" s="242" t="s">
        <v>4</v>
      </c>
      <c r="B39" s="243" t="s">
        <v>128</v>
      </c>
      <c r="C39" s="241"/>
      <c r="D39" s="241"/>
      <c r="E39" s="241"/>
    </row>
    <row r="40" spans="1:5" ht="16.5" customHeight="1" x14ac:dyDescent="0.3">
      <c r="A40" s="242" t="s">
        <v>6</v>
      </c>
      <c r="B40" s="244">
        <v>99.15</v>
      </c>
      <c r="C40" s="241"/>
      <c r="D40" s="241"/>
      <c r="E40" s="241"/>
    </row>
    <row r="41" spans="1:5" ht="16.5" customHeight="1" x14ac:dyDescent="0.3">
      <c r="A41" s="239" t="s">
        <v>8</v>
      </c>
      <c r="B41" s="243">
        <v>24.04</v>
      </c>
      <c r="C41" s="241"/>
      <c r="D41" s="241"/>
      <c r="E41" s="241"/>
    </row>
    <row r="42" spans="1:5" ht="16.5" customHeight="1" x14ac:dyDescent="0.3">
      <c r="A42" s="239" t="s">
        <v>10</v>
      </c>
      <c r="B42" s="244">
        <f>B41/50*3/100</f>
        <v>1.4424000000000001E-2</v>
      </c>
      <c r="C42" s="241"/>
      <c r="D42" s="241"/>
      <c r="E42" s="241"/>
    </row>
    <row r="43" spans="1:5" ht="15.75" customHeight="1" x14ac:dyDescent="0.3">
      <c r="A43" s="241"/>
      <c r="B43" s="245"/>
      <c r="C43" s="241"/>
      <c r="D43" s="241"/>
      <c r="E43" s="241"/>
    </row>
    <row r="44" spans="1:5" ht="16.5" customHeight="1" x14ac:dyDescent="0.3">
      <c r="A44" s="247" t="s">
        <v>13</v>
      </c>
      <c r="B44" s="248" t="s">
        <v>14</v>
      </c>
      <c r="C44" s="247" t="s">
        <v>15</v>
      </c>
      <c r="D44" s="247" t="s">
        <v>16</v>
      </c>
      <c r="E44" s="247" t="s">
        <v>17</v>
      </c>
    </row>
    <row r="45" spans="1:5" ht="16.5" customHeight="1" x14ac:dyDescent="0.3">
      <c r="A45" s="249">
        <v>1</v>
      </c>
      <c r="B45" s="250">
        <v>88682632</v>
      </c>
      <c r="C45" s="250">
        <v>6416.22</v>
      </c>
      <c r="D45" s="251">
        <v>1.1000000000000001</v>
      </c>
      <c r="E45" s="252">
        <v>4.1500000000000004</v>
      </c>
    </row>
    <row r="46" spans="1:5" ht="16.5" customHeight="1" x14ac:dyDescent="0.3">
      <c r="A46" s="249">
        <v>2</v>
      </c>
      <c r="B46" s="250">
        <v>86836899</v>
      </c>
      <c r="C46" s="250">
        <v>6460.25</v>
      </c>
      <c r="D46" s="251">
        <v>1.1200000000000001</v>
      </c>
      <c r="E46" s="251">
        <v>4.1500000000000004</v>
      </c>
    </row>
    <row r="47" spans="1:5" ht="16.5" customHeight="1" x14ac:dyDescent="0.3">
      <c r="A47" s="249">
        <v>3</v>
      </c>
      <c r="B47" s="250">
        <v>86273045</v>
      </c>
      <c r="C47" s="250">
        <v>6453.99</v>
      </c>
      <c r="D47" s="251">
        <v>1.1299999999999999</v>
      </c>
      <c r="E47" s="251">
        <v>4.1500000000000004</v>
      </c>
    </row>
    <row r="48" spans="1:5" ht="16.5" customHeight="1" x14ac:dyDescent="0.3">
      <c r="A48" s="249">
        <v>4</v>
      </c>
      <c r="B48" s="250">
        <v>86814984</v>
      </c>
      <c r="C48" s="250">
        <v>6446.5</v>
      </c>
      <c r="D48" s="251">
        <v>1.1100000000000001</v>
      </c>
      <c r="E48" s="251">
        <v>4.1500000000000004</v>
      </c>
    </row>
    <row r="49" spans="1:7" ht="16.5" customHeight="1" x14ac:dyDescent="0.3">
      <c r="A49" s="249">
        <v>5</v>
      </c>
      <c r="B49" s="250">
        <v>87150427</v>
      </c>
      <c r="C49" s="250">
        <v>6466.19</v>
      </c>
      <c r="D49" s="251">
        <v>1.1000000000000001</v>
      </c>
      <c r="E49" s="251">
        <v>4.1500000000000004</v>
      </c>
    </row>
    <row r="50" spans="1:7" ht="16.5" customHeight="1" x14ac:dyDescent="0.3">
      <c r="A50" s="249">
        <v>6</v>
      </c>
      <c r="B50" s="253">
        <v>87120941</v>
      </c>
      <c r="C50" s="253">
        <v>6474.39</v>
      </c>
      <c r="D50" s="254">
        <v>1.1000000000000001</v>
      </c>
      <c r="E50" s="254">
        <v>4.1500000000000004</v>
      </c>
    </row>
    <row r="51" spans="1:7" ht="16.5" customHeight="1" x14ac:dyDescent="0.3">
      <c r="A51" s="255" t="s">
        <v>18</v>
      </c>
      <c r="B51" s="256">
        <f>AVERAGE(B45:B50)</f>
        <v>87146488</v>
      </c>
      <c r="C51" s="257">
        <f>AVERAGE(C45:C50)</f>
        <v>6452.9233333333332</v>
      </c>
      <c r="D51" s="258">
        <f>AVERAGE(D45:D50)</f>
        <v>1.1100000000000001</v>
      </c>
      <c r="E51" s="258">
        <f>AVERAGE(E45:E50)</f>
        <v>4.1499999999999995</v>
      </c>
    </row>
    <row r="52" spans="1:7" ht="16.5" customHeight="1" x14ac:dyDescent="0.3">
      <c r="A52" s="259" t="s">
        <v>19</v>
      </c>
      <c r="B52" s="260">
        <f>(STDEV(B45:B50)/B51)</f>
        <v>9.3632201147369597E-3</v>
      </c>
      <c r="C52" s="261"/>
      <c r="D52" s="261"/>
      <c r="E52" s="262"/>
    </row>
    <row r="53" spans="1:7" s="235" customFormat="1" ht="16.5" customHeight="1" x14ac:dyDescent="0.3">
      <c r="A53" s="263" t="s">
        <v>20</v>
      </c>
      <c r="B53" s="264">
        <f>COUNT(B45:B50)</f>
        <v>6</v>
      </c>
      <c r="C53" s="265"/>
      <c r="D53" s="266"/>
      <c r="E53" s="267"/>
    </row>
    <row r="54" spans="1:7" s="235" customFormat="1" ht="15.75" customHeight="1" x14ac:dyDescent="0.25">
      <c r="A54" s="241"/>
      <c r="B54" s="241"/>
      <c r="C54" s="241"/>
      <c r="D54" s="241"/>
      <c r="E54" s="241"/>
    </row>
    <row r="55" spans="1:7" s="235" customFormat="1" ht="16.5" customHeight="1" x14ac:dyDescent="0.3">
      <c r="A55" s="242" t="s">
        <v>21</v>
      </c>
      <c r="B55" s="268" t="s">
        <v>125</v>
      </c>
      <c r="C55" s="269"/>
      <c r="D55" s="269"/>
      <c r="E55" s="269"/>
    </row>
    <row r="56" spans="1:7" ht="16.5" customHeight="1" x14ac:dyDescent="0.3">
      <c r="A56" s="242"/>
      <c r="B56" s="268" t="s">
        <v>126</v>
      </c>
      <c r="C56" s="269"/>
      <c r="D56" s="269"/>
      <c r="E56" s="269"/>
    </row>
    <row r="57" spans="1:7" ht="16.5" customHeight="1" x14ac:dyDescent="0.3">
      <c r="A57" s="242"/>
      <c r="B57" s="268" t="s">
        <v>127</v>
      </c>
      <c r="C57" s="269"/>
      <c r="D57" s="269"/>
      <c r="E57" s="269"/>
    </row>
    <row r="58" spans="1:7" ht="14.25" customHeight="1" thickBot="1" x14ac:dyDescent="0.3">
      <c r="A58" s="270"/>
      <c r="B58" s="271"/>
      <c r="D58" s="272"/>
      <c r="F58" s="273"/>
      <c r="G58" s="273"/>
    </row>
    <row r="59" spans="1:7" ht="15" customHeight="1" x14ac:dyDescent="0.3">
      <c r="B59" s="281" t="s">
        <v>23</v>
      </c>
      <c r="C59" s="281"/>
      <c r="E59" s="274" t="s">
        <v>24</v>
      </c>
      <c r="F59" s="275"/>
      <c r="G59" s="274" t="s">
        <v>25</v>
      </c>
    </row>
    <row r="60" spans="1:7" ht="15" customHeight="1" x14ac:dyDescent="0.3">
      <c r="A60" s="276" t="s">
        <v>26</v>
      </c>
      <c r="B60" s="277"/>
      <c r="C60" s="277"/>
      <c r="E60" s="277"/>
      <c r="G60" s="277"/>
    </row>
    <row r="61" spans="1:7" ht="15" customHeight="1" x14ac:dyDescent="0.3">
      <c r="A61" s="276" t="s">
        <v>27</v>
      </c>
      <c r="B61" s="278"/>
      <c r="C61" s="278"/>
      <c r="E61" s="278"/>
      <c r="G61" s="27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A11" sqref="A11:F1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5" t="s">
        <v>28</v>
      </c>
      <c r="B11" s="286"/>
      <c r="C11" s="286"/>
      <c r="D11" s="286"/>
      <c r="E11" s="286"/>
      <c r="F11" s="287"/>
      <c r="G11" s="43"/>
    </row>
    <row r="12" spans="1:7" ht="16.5" customHeight="1" x14ac:dyDescent="0.3">
      <c r="A12" s="284" t="s">
        <v>29</v>
      </c>
      <c r="B12" s="284"/>
      <c r="C12" s="284"/>
      <c r="D12" s="284"/>
      <c r="E12" s="284"/>
      <c r="F12" s="284"/>
      <c r="G12" s="42"/>
    </row>
    <row r="14" spans="1:7" ht="16.5" customHeight="1" x14ac:dyDescent="0.3">
      <c r="A14" s="289" t="s">
        <v>30</v>
      </c>
      <c r="B14" s="289"/>
      <c r="C14" s="12" t="s">
        <v>5</v>
      </c>
    </row>
    <row r="15" spans="1:7" ht="16.5" customHeight="1" x14ac:dyDescent="0.3">
      <c r="A15" s="289" t="s">
        <v>31</v>
      </c>
      <c r="B15" s="289"/>
      <c r="C15" s="12" t="s">
        <v>7</v>
      </c>
    </row>
    <row r="16" spans="1:7" ht="16.5" customHeight="1" x14ac:dyDescent="0.3">
      <c r="A16" s="289" t="s">
        <v>32</v>
      </c>
      <c r="B16" s="289"/>
      <c r="C16" s="12" t="s">
        <v>9</v>
      </c>
    </row>
    <row r="17" spans="1:5" ht="16.5" customHeight="1" x14ac:dyDescent="0.3">
      <c r="A17" s="289" t="s">
        <v>33</v>
      </c>
      <c r="B17" s="289"/>
      <c r="C17" s="12" t="s">
        <v>11</v>
      </c>
    </row>
    <row r="18" spans="1:5" ht="16.5" customHeight="1" x14ac:dyDescent="0.3">
      <c r="A18" s="289" t="s">
        <v>34</v>
      </c>
      <c r="B18" s="289"/>
      <c r="C18" s="49" t="s">
        <v>12</v>
      </c>
    </row>
    <row r="19" spans="1:5" ht="16.5" customHeight="1" x14ac:dyDescent="0.3">
      <c r="A19" s="289" t="s">
        <v>35</v>
      </c>
      <c r="B19" s="28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4" t="s">
        <v>1</v>
      </c>
      <c r="B21" s="284"/>
      <c r="C21" s="11" t="s">
        <v>36</v>
      </c>
      <c r="D21" s="18"/>
    </row>
    <row r="22" spans="1:5" ht="15.75" customHeight="1" x14ac:dyDescent="0.3">
      <c r="A22" s="288"/>
      <c r="B22" s="288"/>
      <c r="C22" s="9"/>
      <c r="D22" s="288"/>
      <c r="E22" s="288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812.86</v>
      </c>
      <c r="D24" s="39">
        <f t="shared" ref="D24:D43" si="0">(C24-$C$46)/$C$46</f>
        <v>1.398176140130698E-2</v>
      </c>
      <c r="E24" s="5"/>
    </row>
    <row r="25" spans="1:5" ht="15.75" customHeight="1" x14ac:dyDescent="0.3">
      <c r="C25" s="47">
        <v>793.45</v>
      </c>
      <c r="D25" s="40">
        <f t="shared" si="0"/>
        <v>-1.0230754885383638E-2</v>
      </c>
      <c r="E25" s="5"/>
    </row>
    <row r="26" spans="1:5" ht="15.75" customHeight="1" x14ac:dyDescent="0.3">
      <c r="C26" s="47">
        <v>788.22</v>
      </c>
      <c r="D26" s="40">
        <f t="shared" si="0"/>
        <v>-1.6754786836923701E-2</v>
      </c>
      <c r="E26" s="5"/>
    </row>
    <row r="27" spans="1:5" ht="15.75" customHeight="1" x14ac:dyDescent="0.3">
      <c r="C27" s="47">
        <v>800.92</v>
      </c>
      <c r="D27" s="40">
        <f t="shared" si="0"/>
        <v>-9.1249127582273583E-4</v>
      </c>
      <c r="E27" s="5"/>
    </row>
    <row r="28" spans="1:5" ht="15.75" customHeight="1" x14ac:dyDescent="0.3">
      <c r="C28" s="47">
        <v>805.61</v>
      </c>
      <c r="D28" s="40">
        <f t="shared" si="0"/>
        <v>4.9379312581587431E-3</v>
      </c>
      <c r="E28" s="5"/>
    </row>
    <row r="29" spans="1:5" ht="15.75" customHeight="1" x14ac:dyDescent="0.3">
      <c r="C29" s="47">
        <v>792.42</v>
      </c>
      <c r="D29" s="40">
        <f t="shared" si="0"/>
        <v>-1.1515602478134461E-2</v>
      </c>
      <c r="E29" s="5"/>
    </row>
    <row r="30" spans="1:5" ht="15.75" customHeight="1" x14ac:dyDescent="0.3">
      <c r="C30" s="47">
        <v>798.99</v>
      </c>
      <c r="D30" s="40">
        <f t="shared" si="0"/>
        <v>-3.3200212311711007E-3</v>
      </c>
      <c r="E30" s="5"/>
    </row>
    <row r="31" spans="1:5" ht="15.75" customHeight="1" x14ac:dyDescent="0.3">
      <c r="C31" s="47">
        <v>802.27</v>
      </c>
      <c r="D31" s="40">
        <f t="shared" si="0"/>
        <v>7.7153226807386065E-4</v>
      </c>
      <c r="E31" s="5"/>
    </row>
    <row r="32" spans="1:5" ht="15.75" customHeight="1" x14ac:dyDescent="0.3">
      <c r="C32" s="47">
        <v>795.15</v>
      </c>
      <c r="D32" s="40">
        <f t="shared" si="0"/>
        <v>-8.1101326449213793E-3</v>
      </c>
      <c r="E32" s="5"/>
    </row>
    <row r="33" spans="1:7" ht="15.75" customHeight="1" x14ac:dyDescent="0.3">
      <c r="C33" s="47">
        <v>815.8</v>
      </c>
      <c r="D33" s="40">
        <f t="shared" si="0"/>
        <v>1.7649190452459433E-2</v>
      </c>
      <c r="E33" s="5"/>
    </row>
    <row r="34" spans="1:7" ht="15.75" customHeight="1" x14ac:dyDescent="0.3">
      <c r="C34" s="47">
        <v>803.14</v>
      </c>
      <c r="D34" s="40">
        <f t="shared" si="0"/>
        <v>1.8567918852516547E-3</v>
      </c>
      <c r="E34" s="5"/>
    </row>
    <row r="35" spans="1:7" ht="15.75" customHeight="1" x14ac:dyDescent="0.3">
      <c r="C35" s="47">
        <v>809.33</v>
      </c>
      <c r="D35" s="40">
        <f t="shared" si="0"/>
        <v>9.5783516902293205E-3</v>
      </c>
      <c r="E35" s="5"/>
    </row>
    <row r="36" spans="1:7" ht="15.75" customHeight="1" x14ac:dyDescent="0.3">
      <c r="C36" s="47">
        <v>815.53</v>
      </c>
      <c r="D36" s="40">
        <f t="shared" si="0"/>
        <v>1.7312385743680141E-2</v>
      </c>
      <c r="E36" s="5"/>
    </row>
    <row r="37" spans="1:7" ht="15.75" customHeight="1" x14ac:dyDescent="0.3">
      <c r="C37" s="47">
        <v>808.28</v>
      </c>
      <c r="D37" s="40">
        <f t="shared" si="0"/>
        <v>8.2685556005319041E-3</v>
      </c>
      <c r="E37" s="5"/>
    </row>
    <row r="38" spans="1:7" ht="15.75" customHeight="1" x14ac:dyDescent="0.3">
      <c r="C38" s="47">
        <v>791.43</v>
      </c>
      <c r="D38" s="40">
        <f t="shared" si="0"/>
        <v>-1.2750553076991956E-2</v>
      </c>
      <c r="E38" s="5"/>
    </row>
    <row r="39" spans="1:7" ht="15.75" customHeight="1" x14ac:dyDescent="0.3">
      <c r="C39" s="47">
        <v>784.85</v>
      </c>
      <c r="D39" s="40">
        <f t="shared" si="0"/>
        <v>-2.0958608572428473E-2</v>
      </c>
      <c r="E39" s="5"/>
    </row>
    <row r="40" spans="1:7" ht="15.75" customHeight="1" x14ac:dyDescent="0.3">
      <c r="C40" s="47">
        <v>805.12</v>
      </c>
      <c r="D40" s="40">
        <f t="shared" si="0"/>
        <v>4.3266930829666444E-3</v>
      </c>
      <c r="E40" s="5"/>
    </row>
    <row r="41" spans="1:7" ht="15.75" customHeight="1" x14ac:dyDescent="0.3">
      <c r="C41" s="47">
        <v>802.46</v>
      </c>
      <c r="D41" s="40">
        <f t="shared" si="0"/>
        <v>1.0085429890667791E-3</v>
      </c>
      <c r="E41" s="5"/>
    </row>
    <row r="42" spans="1:7" ht="15.75" customHeight="1" x14ac:dyDescent="0.3">
      <c r="C42" s="47">
        <v>782.99</v>
      </c>
      <c r="D42" s="40">
        <f t="shared" si="0"/>
        <v>-2.3278818788463759E-2</v>
      </c>
      <c r="E42" s="5"/>
    </row>
    <row r="43" spans="1:7" ht="16.5" customHeight="1" x14ac:dyDescent="0.3">
      <c r="C43" s="48">
        <v>824.21</v>
      </c>
      <c r="D43" s="41">
        <f t="shared" si="0"/>
        <v>2.8140033418511488E-2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16033.030000000002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801.65150000000017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282">
        <f>C46</f>
        <v>801.65150000000017</v>
      </c>
      <c r="C49" s="45">
        <f>-IF(C46&lt;=80,10%,IF(C46&lt;250,7.5%,5%))</f>
        <v>-0.05</v>
      </c>
      <c r="D49" s="33">
        <f>IF(C46&lt;=80,C46*0.9,IF(C46&lt;250,C46*0.925,C46*0.95))</f>
        <v>761.56892500000015</v>
      </c>
    </row>
    <row r="50" spans="1:6" ht="17.25" customHeight="1" x14ac:dyDescent="0.3">
      <c r="B50" s="283"/>
      <c r="C50" s="46">
        <f>IF(C46&lt;=80, 10%, IF(C46&lt;250, 7.5%, 5%))</f>
        <v>0.05</v>
      </c>
      <c r="D50" s="33">
        <f>IF(C46&lt;=80, C46*1.1, IF(C46&lt;250, C46*1.075, C46*1.05))</f>
        <v>841.73407500000019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12" zoomScale="47" zoomScaleNormal="40" zoomScalePageLayoutView="47" workbookViewId="0">
      <selection activeCell="E121" sqref="E1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0" t="s">
        <v>42</v>
      </c>
      <c r="B1" s="290"/>
      <c r="C1" s="290"/>
      <c r="D1" s="290"/>
      <c r="E1" s="290"/>
      <c r="F1" s="290"/>
      <c r="G1" s="290"/>
      <c r="H1" s="290"/>
      <c r="I1" s="290"/>
    </row>
    <row r="2" spans="1:9" ht="18.75" customHeight="1" x14ac:dyDescent="0.25">
      <c r="A2" s="290"/>
      <c r="B2" s="290"/>
      <c r="C2" s="290"/>
      <c r="D2" s="290"/>
      <c r="E2" s="290"/>
      <c r="F2" s="290"/>
      <c r="G2" s="290"/>
      <c r="H2" s="290"/>
      <c r="I2" s="290"/>
    </row>
    <row r="3" spans="1:9" ht="18.75" customHeight="1" x14ac:dyDescent="0.25">
      <c r="A3" s="290"/>
      <c r="B3" s="290"/>
      <c r="C3" s="290"/>
      <c r="D3" s="290"/>
      <c r="E3" s="290"/>
      <c r="F3" s="290"/>
      <c r="G3" s="290"/>
      <c r="H3" s="290"/>
      <c r="I3" s="290"/>
    </row>
    <row r="4" spans="1:9" ht="18.75" customHeight="1" x14ac:dyDescent="0.25">
      <c r="A4" s="290"/>
      <c r="B4" s="290"/>
      <c r="C4" s="290"/>
      <c r="D4" s="290"/>
      <c r="E4" s="290"/>
      <c r="F4" s="290"/>
      <c r="G4" s="290"/>
      <c r="H4" s="290"/>
      <c r="I4" s="290"/>
    </row>
    <row r="5" spans="1:9" ht="18.75" customHeight="1" x14ac:dyDescent="0.25">
      <c r="A5" s="290"/>
      <c r="B5" s="290"/>
      <c r="C5" s="290"/>
      <c r="D5" s="290"/>
      <c r="E5" s="290"/>
      <c r="F5" s="290"/>
      <c r="G5" s="290"/>
      <c r="H5" s="290"/>
      <c r="I5" s="290"/>
    </row>
    <row r="6" spans="1:9" ht="18.75" customHeight="1" x14ac:dyDescent="0.25">
      <c r="A6" s="290"/>
      <c r="B6" s="290"/>
      <c r="C6" s="290"/>
      <c r="D6" s="290"/>
      <c r="E6" s="290"/>
      <c r="F6" s="290"/>
      <c r="G6" s="290"/>
      <c r="H6" s="290"/>
      <c r="I6" s="290"/>
    </row>
    <row r="7" spans="1:9" ht="18.75" customHeight="1" x14ac:dyDescent="0.25">
      <c r="A7" s="290"/>
      <c r="B7" s="290"/>
      <c r="C7" s="290"/>
      <c r="D7" s="290"/>
      <c r="E7" s="290"/>
      <c r="F7" s="290"/>
      <c r="G7" s="290"/>
      <c r="H7" s="290"/>
      <c r="I7" s="290"/>
    </row>
    <row r="8" spans="1:9" x14ac:dyDescent="0.25">
      <c r="A8" s="291" t="s">
        <v>43</v>
      </c>
      <c r="B8" s="291"/>
      <c r="C8" s="291"/>
      <c r="D8" s="291"/>
      <c r="E8" s="291"/>
      <c r="F8" s="291"/>
      <c r="G8" s="291"/>
      <c r="H8" s="291"/>
      <c r="I8" s="291"/>
    </row>
    <row r="9" spans="1:9" x14ac:dyDescent="0.25">
      <c r="A9" s="291"/>
      <c r="B9" s="291"/>
      <c r="C9" s="291"/>
      <c r="D9" s="291"/>
      <c r="E9" s="291"/>
      <c r="F9" s="291"/>
      <c r="G9" s="291"/>
      <c r="H9" s="291"/>
      <c r="I9" s="291"/>
    </row>
    <row r="10" spans="1:9" x14ac:dyDescent="0.25">
      <c r="A10" s="291"/>
      <c r="B10" s="291"/>
      <c r="C10" s="291"/>
      <c r="D10" s="291"/>
      <c r="E10" s="291"/>
      <c r="F10" s="291"/>
      <c r="G10" s="291"/>
      <c r="H10" s="291"/>
      <c r="I10" s="291"/>
    </row>
    <row r="11" spans="1:9" x14ac:dyDescent="0.25">
      <c r="A11" s="291"/>
      <c r="B11" s="291"/>
      <c r="C11" s="291"/>
      <c r="D11" s="291"/>
      <c r="E11" s="291"/>
      <c r="F11" s="291"/>
      <c r="G11" s="291"/>
      <c r="H11" s="291"/>
      <c r="I11" s="291"/>
    </row>
    <row r="12" spans="1:9" x14ac:dyDescent="0.25">
      <c r="A12" s="291"/>
      <c r="B12" s="291"/>
      <c r="C12" s="291"/>
      <c r="D12" s="291"/>
      <c r="E12" s="291"/>
      <c r="F12" s="291"/>
      <c r="G12" s="291"/>
      <c r="H12" s="291"/>
      <c r="I12" s="291"/>
    </row>
    <row r="13" spans="1:9" x14ac:dyDescent="0.25">
      <c r="A13" s="291"/>
      <c r="B13" s="291"/>
      <c r="C13" s="291"/>
      <c r="D13" s="291"/>
      <c r="E13" s="291"/>
      <c r="F13" s="291"/>
      <c r="G13" s="291"/>
      <c r="H13" s="291"/>
      <c r="I13" s="291"/>
    </row>
    <row r="14" spans="1:9" x14ac:dyDescent="0.25">
      <c r="A14" s="291"/>
      <c r="B14" s="291"/>
      <c r="C14" s="291"/>
      <c r="D14" s="291"/>
      <c r="E14" s="291"/>
      <c r="F14" s="291"/>
      <c r="G14" s="291"/>
      <c r="H14" s="291"/>
      <c r="I14" s="291"/>
    </row>
    <row r="15" spans="1:9" ht="19.5" customHeight="1" x14ac:dyDescent="0.3">
      <c r="A15" s="50"/>
    </row>
    <row r="16" spans="1:9" ht="19.5" customHeight="1" x14ac:dyDescent="0.3">
      <c r="A16" s="324" t="s">
        <v>28</v>
      </c>
      <c r="B16" s="325"/>
      <c r="C16" s="325"/>
      <c r="D16" s="325"/>
      <c r="E16" s="325"/>
      <c r="F16" s="325"/>
      <c r="G16" s="325"/>
      <c r="H16" s="326"/>
    </row>
    <row r="17" spans="1:14" ht="20.25" customHeight="1" x14ac:dyDescent="0.25">
      <c r="A17" s="327" t="s">
        <v>44</v>
      </c>
      <c r="B17" s="327"/>
      <c r="C17" s="327"/>
      <c r="D17" s="327"/>
      <c r="E17" s="327"/>
      <c r="F17" s="327"/>
      <c r="G17" s="327"/>
      <c r="H17" s="327"/>
    </row>
    <row r="18" spans="1:14" ht="26.25" customHeight="1" x14ac:dyDescent="0.4">
      <c r="A18" s="52" t="s">
        <v>30</v>
      </c>
      <c r="B18" s="323" t="s">
        <v>5</v>
      </c>
      <c r="C18" s="323"/>
      <c r="D18" s="218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31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328" t="s">
        <v>9</v>
      </c>
      <c r="C20" s="328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328" t="s">
        <v>11</v>
      </c>
      <c r="C21" s="328"/>
      <c r="D21" s="328"/>
      <c r="E21" s="328"/>
      <c r="F21" s="328"/>
      <c r="G21" s="328"/>
      <c r="H21" s="328"/>
      <c r="I21" s="56"/>
    </row>
    <row r="22" spans="1:14" ht="26.25" customHeight="1" x14ac:dyDescent="0.4">
      <c r="A22" s="52" t="s">
        <v>34</v>
      </c>
      <c r="B22" s="57">
        <v>42529.320706018516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>
        <v>42534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323" t="s">
        <v>122</v>
      </c>
      <c r="C26" s="323"/>
    </row>
    <row r="27" spans="1:14" ht="26.25" customHeight="1" x14ac:dyDescent="0.4">
      <c r="A27" s="61" t="s">
        <v>45</v>
      </c>
      <c r="B27" s="321" t="s">
        <v>123</v>
      </c>
      <c r="C27" s="321"/>
    </row>
    <row r="28" spans="1:14" ht="27" customHeight="1" x14ac:dyDescent="0.4">
      <c r="A28" s="61" t="s">
        <v>6</v>
      </c>
      <c r="B28" s="62">
        <v>99.15</v>
      </c>
    </row>
    <row r="29" spans="1:14" s="3" customFormat="1" ht="27" customHeight="1" x14ac:dyDescent="0.4">
      <c r="A29" s="61" t="s">
        <v>46</v>
      </c>
      <c r="B29" s="63">
        <v>0</v>
      </c>
      <c r="C29" s="298" t="s">
        <v>47</v>
      </c>
      <c r="D29" s="299"/>
      <c r="E29" s="299"/>
      <c r="F29" s="299"/>
      <c r="G29" s="300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99.15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301" t="s">
        <v>50</v>
      </c>
      <c r="D31" s="302"/>
      <c r="E31" s="302"/>
      <c r="F31" s="302"/>
      <c r="G31" s="302"/>
      <c r="H31" s="303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301" t="s">
        <v>52</v>
      </c>
      <c r="D32" s="302"/>
      <c r="E32" s="302"/>
      <c r="F32" s="302"/>
      <c r="G32" s="302"/>
      <c r="H32" s="303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50</v>
      </c>
      <c r="C36" s="51"/>
      <c r="D36" s="304" t="s">
        <v>56</v>
      </c>
      <c r="E36" s="322"/>
      <c r="F36" s="304" t="s">
        <v>57</v>
      </c>
      <c r="G36" s="30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5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100</v>
      </c>
      <c r="C38" s="83">
        <v>1</v>
      </c>
      <c r="D38" s="232">
        <v>180269550</v>
      </c>
      <c r="E38" s="84">
        <f>IF(ISBLANK(D38),"-",$D$48/$D$45*D38)</f>
        <v>189075475.5689584</v>
      </c>
      <c r="F38" s="232">
        <v>174961367</v>
      </c>
      <c r="G38" s="85">
        <f>IF(ISBLANK(F38),"-",$D$48/$F$45*F38)</f>
        <v>191972680.53476307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7">
        <v>2</v>
      </c>
      <c r="D39" s="233">
        <v>181286470</v>
      </c>
      <c r="E39" s="89">
        <f>IF(ISBLANK(D39),"-",$D$48/$D$45*D39)</f>
        <v>190142070.74610054</v>
      </c>
      <c r="F39" s="233">
        <v>176111792</v>
      </c>
      <c r="G39" s="90">
        <f>IF(ISBLANK(F39),"-",$D$48/$F$45*F39)</f>
        <v>193234960.17278284</v>
      </c>
      <c r="I39" s="306">
        <f>ABS((F43/D43*D42)-F42)/D42</f>
        <v>1.7539877063984945E-2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7">
        <v>3</v>
      </c>
      <c r="D40" s="233">
        <v>180596235</v>
      </c>
      <c r="E40" s="89">
        <f>IF(ISBLANK(D40),"-",$D$48/$D$45*D40)</f>
        <v>189418118.69274855</v>
      </c>
      <c r="F40" s="233">
        <v>176683164</v>
      </c>
      <c r="G40" s="90">
        <f>IF(ISBLANK(F40),"-",$D$48/$F$45*F40)</f>
        <v>193861886.08393273</v>
      </c>
      <c r="I40" s="306"/>
      <c r="L40" s="69"/>
      <c r="M40" s="69"/>
      <c r="N40" s="91"/>
    </row>
    <row r="41" spans="1:14" ht="27" customHeight="1" x14ac:dyDescent="0.4">
      <c r="A41" s="76" t="s">
        <v>66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91"/>
    </row>
    <row r="42" spans="1:14" ht="27" customHeight="1" x14ac:dyDescent="0.4">
      <c r="A42" s="76" t="s">
        <v>67</v>
      </c>
      <c r="B42" s="77">
        <v>1</v>
      </c>
      <c r="C42" s="97" t="s">
        <v>68</v>
      </c>
      <c r="D42" s="98">
        <f>AVERAGE(D38:D41)</f>
        <v>180717418.33333334</v>
      </c>
      <c r="E42" s="99">
        <f>AVERAGE(E38:E41)</f>
        <v>189545221.66926917</v>
      </c>
      <c r="F42" s="98">
        <f>AVERAGE(F38:F41)</f>
        <v>175918774.33333334</v>
      </c>
      <c r="G42" s="100">
        <f>AVERAGE(G38:G41)</f>
        <v>193023175.59715953</v>
      </c>
      <c r="H42" s="101"/>
    </row>
    <row r="43" spans="1:14" ht="26.25" customHeight="1" x14ac:dyDescent="0.4">
      <c r="A43" s="76" t="s">
        <v>69</v>
      </c>
      <c r="B43" s="77">
        <v>1</v>
      </c>
      <c r="C43" s="102" t="s">
        <v>70</v>
      </c>
      <c r="D43" s="103">
        <v>24.04</v>
      </c>
      <c r="E43" s="91"/>
      <c r="F43" s="103">
        <v>22.98</v>
      </c>
      <c r="H43" s="101"/>
    </row>
    <row r="44" spans="1:14" ht="26.25" customHeight="1" x14ac:dyDescent="0.4">
      <c r="A44" s="76" t="s">
        <v>71</v>
      </c>
      <c r="B44" s="77">
        <v>1</v>
      </c>
      <c r="C44" s="104" t="s">
        <v>72</v>
      </c>
      <c r="D44" s="105">
        <f>D43*$B$34</f>
        <v>24.04</v>
      </c>
      <c r="E44" s="106"/>
      <c r="F44" s="105">
        <f>F43*$B$34</f>
        <v>22.98</v>
      </c>
      <c r="H44" s="101"/>
    </row>
    <row r="45" spans="1:14" ht="19.5" customHeight="1" x14ac:dyDescent="0.3">
      <c r="A45" s="76" t="s">
        <v>73</v>
      </c>
      <c r="B45" s="107">
        <f>(B44/B43)*(B42/B41)*(B40/B39)*(B38/B37)*B36</f>
        <v>1000</v>
      </c>
      <c r="C45" s="104" t="s">
        <v>74</v>
      </c>
      <c r="D45" s="108">
        <f>D44*$B$30/100</f>
        <v>23.835660000000004</v>
      </c>
      <c r="E45" s="109"/>
      <c r="F45" s="108">
        <f>F44*$B$30/100</f>
        <v>22.784670000000002</v>
      </c>
      <c r="H45" s="101"/>
    </row>
    <row r="46" spans="1:14" ht="19.5" customHeight="1" x14ac:dyDescent="0.3">
      <c r="A46" s="292" t="s">
        <v>75</v>
      </c>
      <c r="B46" s="293"/>
      <c r="C46" s="104" t="s">
        <v>76</v>
      </c>
      <c r="D46" s="110">
        <f>D45/$B$45</f>
        <v>2.3835660000000005E-2</v>
      </c>
      <c r="E46" s="111"/>
      <c r="F46" s="112">
        <f>F45/$B$45</f>
        <v>2.2784670000000003E-2</v>
      </c>
      <c r="H46" s="101"/>
    </row>
    <row r="47" spans="1:14" ht="27" customHeight="1" x14ac:dyDescent="0.4">
      <c r="A47" s="294"/>
      <c r="B47" s="295"/>
      <c r="C47" s="113" t="s">
        <v>77</v>
      </c>
      <c r="D47" s="114">
        <v>2.5000000000000001E-2</v>
      </c>
      <c r="E47" s="115"/>
      <c r="F47" s="111"/>
      <c r="H47" s="101"/>
    </row>
    <row r="48" spans="1:14" ht="18.75" x14ac:dyDescent="0.3">
      <c r="C48" s="116" t="s">
        <v>78</v>
      </c>
      <c r="D48" s="108">
        <f>D47*$B$45</f>
        <v>25</v>
      </c>
      <c r="F48" s="117"/>
      <c r="H48" s="101"/>
    </row>
    <row r="49" spans="1:12" ht="19.5" customHeight="1" x14ac:dyDescent="0.3">
      <c r="C49" s="118" t="s">
        <v>79</v>
      </c>
      <c r="D49" s="119">
        <f>D48/B34</f>
        <v>25</v>
      </c>
      <c r="F49" s="117"/>
      <c r="H49" s="101"/>
    </row>
    <row r="50" spans="1:12" ht="18.75" x14ac:dyDescent="0.3">
      <c r="C50" s="74" t="s">
        <v>80</v>
      </c>
      <c r="D50" s="120">
        <f>AVERAGE(E38:E41,G38:G41)</f>
        <v>191284198.63321435</v>
      </c>
      <c r="F50" s="121"/>
      <c r="H50" s="101"/>
    </row>
    <row r="51" spans="1:12" ht="18.75" x14ac:dyDescent="0.3">
      <c r="C51" s="76" t="s">
        <v>81</v>
      </c>
      <c r="D51" s="122">
        <f>STDEV(E38:E41,G38:G41)/D50</f>
        <v>1.0608519498460926E-2</v>
      </c>
      <c r="F51" s="121"/>
      <c r="H51" s="101"/>
    </row>
    <row r="52" spans="1:12" ht="19.5" customHeight="1" x14ac:dyDescent="0.3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82</v>
      </c>
    </row>
    <row r="55" spans="1:12" ht="18.75" x14ac:dyDescent="0.3">
      <c r="A55" s="51" t="s">
        <v>83</v>
      </c>
      <c r="B55" s="127" t="str">
        <f>B21</f>
        <v>Each tablet contains: 200 mg of Nevirapine USP.</v>
      </c>
    </row>
    <row r="56" spans="1:12" ht="26.25" customHeight="1" x14ac:dyDescent="0.4">
      <c r="A56" s="128" t="s">
        <v>84</v>
      </c>
      <c r="B56" s="129">
        <v>200</v>
      </c>
      <c r="C56" s="51" t="str">
        <f>B20</f>
        <v>Nevirapine USP</v>
      </c>
      <c r="H56" s="130"/>
    </row>
    <row r="57" spans="1:12" ht="18.75" x14ac:dyDescent="0.3">
      <c r="A57" s="127" t="s">
        <v>85</v>
      </c>
      <c r="B57" s="219">
        <f>Uniformity!C46</f>
        <v>801.65150000000017</v>
      </c>
      <c r="H57" s="130"/>
    </row>
    <row r="58" spans="1:12" ht="19.5" customHeight="1" x14ac:dyDescent="0.3">
      <c r="H58" s="130"/>
    </row>
    <row r="59" spans="1:12" s="3" customFormat="1" ht="27" customHeight="1" x14ac:dyDescent="0.4">
      <c r="A59" s="74" t="s">
        <v>86</v>
      </c>
      <c r="B59" s="75">
        <v>250</v>
      </c>
      <c r="C59" s="51"/>
      <c r="D59" s="131" t="s">
        <v>87</v>
      </c>
      <c r="E59" s="132" t="s">
        <v>59</v>
      </c>
      <c r="F59" s="132" t="s">
        <v>60</v>
      </c>
      <c r="G59" s="132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3</v>
      </c>
      <c r="C60" s="309" t="s">
        <v>91</v>
      </c>
      <c r="D60" s="312">
        <v>802.46</v>
      </c>
      <c r="E60" s="133">
        <v>1</v>
      </c>
      <c r="F60" s="134">
        <v>175655020</v>
      </c>
      <c r="G60" s="220">
        <f>IF(ISBLANK(F60),"-",(F60/$D$50*$D$47*$B$68)*($B$57/$D$60))</f>
        <v>191.11837702747408</v>
      </c>
      <c r="H60" s="135">
        <f t="shared" ref="H60:H71" si="0">IF(ISBLANK(F60),"-",G60/$B$56)</f>
        <v>0.95559188513737037</v>
      </c>
      <c r="L60" s="64"/>
    </row>
    <row r="61" spans="1:12" s="3" customFormat="1" ht="26.25" customHeight="1" x14ac:dyDescent="0.4">
      <c r="A61" s="76" t="s">
        <v>92</v>
      </c>
      <c r="B61" s="77">
        <v>100</v>
      </c>
      <c r="C61" s="310"/>
      <c r="D61" s="313"/>
      <c r="E61" s="136">
        <v>2</v>
      </c>
      <c r="F61" s="88">
        <v>175093918</v>
      </c>
      <c r="G61" s="221">
        <f>IF(ISBLANK(F61),"-",(F61/$D$50*$D$47*$B$68)*($B$57/$D$60))</f>
        <v>190.50787979496189</v>
      </c>
      <c r="H61" s="137">
        <f t="shared" si="0"/>
        <v>0.95253939897480944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310"/>
      <c r="D62" s="313"/>
      <c r="E62" s="136">
        <v>3</v>
      </c>
      <c r="F62" s="138">
        <v>175266466</v>
      </c>
      <c r="G62" s="221">
        <f>IF(ISBLANK(F62),"-",(F62/$D$50*$D$47*$B$68)*($B$57/$D$60))</f>
        <v>190.69561763313664</v>
      </c>
      <c r="H62" s="137">
        <f t="shared" si="0"/>
        <v>0.95347808816568314</v>
      </c>
      <c r="L62" s="64"/>
    </row>
    <row r="63" spans="1:12" ht="27" customHeight="1" x14ac:dyDescent="0.4">
      <c r="A63" s="76" t="s">
        <v>94</v>
      </c>
      <c r="B63" s="77">
        <v>1</v>
      </c>
      <c r="C63" s="320"/>
      <c r="D63" s="314"/>
      <c r="E63" s="139">
        <v>4</v>
      </c>
      <c r="F63" s="140"/>
      <c r="G63" s="221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309" t="s">
        <v>96</v>
      </c>
      <c r="D64" s="312">
        <v>812.94</v>
      </c>
      <c r="E64" s="133">
        <v>1</v>
      </c>
      <c r="F64" s="134"/>
      <c r="G64" s="222" t="str">
        <f>IF(ISBLANK(F64),"-",(F64/$D$50*$D$47*$B$68)*($B$57/$D$64))</f>
        <v>-</v>
      </c>
      <c r="H64" s="141" t="str">
        <f t="shared" si="0"/>
        <v>-</v>
      </c>
    </row>
    <row r="65" spans="1:8" ht="26.25" customHeight="1" x14ac:dyDescent="0.4">
      <c r="A65" s="76" t="s">
        <v>97</v>
      </c>
      <c r="B65" s="77">
        <v>1</v>
      </c>
      <c r="C65" s="310"/>
      <c r="D65" s="313"/>
      <c r="E65" s="136">
        <v>2</v>
      </c>
      <c r="F65" s="88"/>
      <c r="G65" s="223" t="str">
        <f>IF(ISBLANK(F65),"-",(F65/$D$50*$D$47*$B$68)*($B$57/$D$64))</f>
        <v>-</v>
      </c>
      <c r="H65" s="142" t="str">
        <f t="shared" si="0"/>
        <v>-</v>
      </c>
    </row>
    <row r="66" spans="1:8" ht="26.25" customHeight="1" x14ac:dyDescent="0.4">
      <c r="A66" s="76" t="s">
        <v>98</v>
      </c>
      <c r="B66" s="77">
        <v>1</v>
      </c>
      <c r="C66" s="310"/>
      <c r="D66" s="313"/>
      <c r="E66" s="136">
        <v>3</v>
      </c>
      <c r="F66" s="88"/>
      <c r="G66" s="223" t="str">
        <f>IF(ISBLANK(F66),"-",(F66/$D$50*$D$47*$B$68)*($B$57/$D$64))</f>
        <v>-</v>
      </c>
      <c r="H66" s="142" t="str">
        <f t="shared" si="0"/>
        <v>-</v>
      </c>
    </row>
    <row r="67" spans="1:8" ht="27" customHeight="1" x14ac:dyDescent="0.4">
      <c r="A67" s="76" t="s">
        <v>99</v>
      </c>
      <c r="B67" s="77">
        <v>1</v>
      </c>
      <c r="C67" s="320"/>
      <c r="D67" s="314"/>
      <c r="E67" s="139">
        <v>4</v>
      </c>
      <c r="F67" s="140"/>
      <c r="G67" s="224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6" t="s">
        <v>100</v>
      </c>
      <c r="B68" s="144">
        <f>(B67/B66)*(B65/B64)*(B63/B62)*(B61/B60)*B59</f>
        <v>8333.3333333333339</v>
      </c>
      <c r="C68" s="309" t="s">
        <v>101</v>
      </c>
      <c r="D68" s="312">
        <v>830.03</v>
      </c>
      <c r="E68" s="133">
        <v>1</v>
      </c>
      <c r="F68" s="134">
        <v>182566581</v>
      </c>
      <c r="G68" s="222">
        <f>IF(ISBLANK(F68),"-",(F68/$D$50*$D$47*$B$68)*($B$57/$D$68))</f>
        <v>192.04047400262644</v>
      </c>
      <c r="H68" s="137">
        <f t="shared" si="0"/>
        <v>0.96020237001313224</v>
      </c>
    </row>
    <row r="69" spans="1:8" ht="27" customHeight="1" x14ac:dyDescent="0.4">
      <c r="A69" s="123" t="s">
        <v>102</v>
      </c>
      <c r="B69" s="145">
        <f>(D47*B68)/B56*B57</f>
        <v>835.0536458333338</v>
      </c>
      <c r="C69" s="310"/>
      <c r="D69" s="313"/>
      <c r="E69" s="136">
        <v>2</v>
      </c>
      <c r="F69" s="88">
        <v>185217054</v>
      </c>
      <c r="G69" s="223">
        <f>IF(ISBLANK(F69),"-",(F69/$D$50*$D$47*$B$68)*($B$57/$D$68))</f>
        <v>194.82848749591284</v>
      </c>
      <c r="H69" s="137">
        <f t="shared" si="0"/>
        <v>0.97414243747956419</v>
      </c>
    </row>
    <row r="70" spans="1:8" ht="26.25" customHeight="1" x14ac:dyDescent="0.4">
      <c r="A70" s="315" t="s">
        <v>75</v>
      </c>
      <c r="B70" s="316"/>
      <c r="C70" s="310"/>
      <c r="D70" s="313"/>
      <c r="E70" s="136">
        <v>3</v>
      </c>
      <c r="F70" s="88">
        <v>185475875</v>
      </c>
      <c r="G70" s="223">
        <f>IF(ISBLANK(F70),"-",(F70/$D$50*$D$47*$B$68)*($B$57/$D$68))</f>
        <v>195.10073944503512</v>
      </c>
      <c r="H70" s="137">
        <f t="shared" si="0"/>
        <v>0.9755036972251756</v>
      </c>
    </row>
    <row r="71" spans="1:8" ht="27" customHeight="1" x14ac:dyDescent="0.4">
      <c r="A71" s="317"/>
      <c r="B71" s="318"/>
      <c r="C71" s="311"/>
      <c r="D71" s="314"/>
      <c r="E71" s="139">
        <v>4</v>
      </c>
      <c r="F71" s="140"/>
      <c r="G71" s="224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49" t="s">
        <v>68</v>
      </c>
      <c r="G72" s="229">
        <f>AVERAGE(G60:G71)</f>
        <v>192.38192923319116</v>
      </c>
      <c r="H72" s="150">
        <f>AVERAGE(H60:H71)</f>
        <v>0.96190964616595576</v>
      </c>
    </row>
    <row r="73" spans="1:8" ht="26.25" customHeight="1" x14ac:dyDescent="0.4">
      <c r="C73" s="147"/>
      <c r="D73" s="147"/>
      <c r="E73" s="147"/>
      <c r="F73" s="151" t="s">
        <v>81</v>
      </c>
      <c r="G73" s="225">
        <f>STDEV(G60:G71)/G72</f>
        <v>1.0765354381486982E-2</v>
      </c>
      <c r="H73" s="225">
        <f>STDEV(H60:H71)/H72</f>
        <v>1.0765354381487005E-2</v>
      </c>
    </row>
    <row r="74" spans="1:8" ht="27" customHeight="1" x14ac:dyDescent="0.4">
      <c r="A74" s="147"/>
      <c r="B74" s="147"/>
      <c r="C74" s="148"/>
      <c r="D74" s="148"/>
      <c r="E74" s="152"/>
      <c r="F74" s="153" t="s">
        <v>20</v>
      </c>
      <c r="G74" s="154">
        <f>COUNT(G60:G71)</f>
        <v>6</v>
      </c>
      <c r="H74" s="154">
        <f>COUNT(H60:H71)</f>
        <v>6</v>
      </c>
    </row>
    <row r="76" spans="1:8" ht="26.25" customHeight="1" x14ac:dyDescent="0.4">
      <c r="A76" s="60" t="s">
        <v>103</v>
      </c>
      <c r="B76" s="155" t="s">
        <v>104</v>
      </c>
      <c r="C76" s="296" t="str">
        <f>B20</f>
        <v>Nevirapine USP</v>
      </c>
      <c r="D76" s="296"/>
      <c r="E76" s="156" t="s">
        <v>105</v>
      </c>
      <c r="F76" s="156"/>
      <c r="G76" s="157">
        <f>H72</f>
        <v>0.96190964616595576</v>
      </c>
      <c r="H76" s="158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319" t="str">
        <f>B26</f>
        <v>Nevirapine</v>
      </c>
      <c r="C79" s="319"/>
    </row>
    <row r="80" spans="1:8" ht="26.25" customHeight="1" x14ac:dyDescent="0.4">
      <c r="A80" s="61" t="s">
        <v>45</v>
      </c>
      <c r="B80" s="319" t="str">
        <f>B27</f>
        <v>N1-2</v>
      </c>
      <c r="C80" s="319"/>
    </row>
    <row r="81" spans="1:12" ht="27" customHeight="1" x14ac:dyDescent="0.4">
      <c r="A81" s="61" t="s">
        <v>6</v>
      </c>
      <c r="B81" s="159">
        <f>B28</f>
        <v>99.15</v>
      </c>
    </row>
    <row r="82" spans="1:12" s="3" customFormat="1" ht="27" customHeight="1" x14ac:dyDescent="0.4">
      <c r="A82" s="61" t="s">
        <v>46</v>
      </c>
      <c r="B82" s="63">
        <v>0</v>
      </c>
      <c r="C82" s="298" t="s">
        <v>47</v>
      </c>
      <c r="D82" s="299"/>
      <c r="E82" s="299"/>
      <c r="F82" s="299"/>
      <c r="G82" s="300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99.15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301" t="s">
        <v>108</v>
      </c>
      <c r="D84" s="302"/>
      <c r="E84" s="302"/>
      <c r="F84" s="302"/>
      <c r="G84" s="302"/>
      <c r="H84" s="303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301" t="s">
        <v>109</v>
      </c>
      <c r="D85" s="302"/>
      <c r="E85" s="302"/>
      <c r="F85" s="302"/>
      <c r="G85" s="302"/>
      <c r="H85" s="303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50</v>
      </c>
      <c r="D89" s="160" t="s">
        <v>56</v>
      </c>
      <c r="E89" s="161"/>
      <c r="F89" s="304" t="s">
        <v>57</v>
      </c>
      <c r="G89" s="305"/>
    </row>
    <row r="90" spans="1:12" ht="27" customHeight="1" x14ac:dyDescent="0.4">
      <c r="A90" s="76" t="s">
        <v>58</v>
      </c>
      <c r="B90" s="77">
        <v>3</v>
      </c>
      <c r="C90" s="162" t="s">
        <v>59</v>
      </c>
      <c r="D90" s="79" t="s">
        <v>60</v>
      </c>
      <c r="E90" s="80" t="s">
        <v>61</v>
      </c>
      <c r="F90" s="79" t="s">
        <v>60</v>
      </c>
      <c r="G90" s="163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100</v>
      </c>
      <c r="C91" s="164">
        <v>1</v>
      </c>
      <c r="D91" s="232">
        <v>87775179</v>
      </c>
      <c r="E91" s="84">
        <f>IF(ISBLANK(D91),"-",$D$101/$D$98*D91)</f>
        <v>81833669.943829253</v>
      </c>
      <c r="F91" s="232">
        <v>83698496</v>
      </c>
      <c r="G91" s="85">
        <f>IF(ISBLANK(F91),"-",$D$101/$F$98*F91)</f>
        <v>81632368.508202121</v>
      </c>
      <c r="I91" s="86"/>
    </row>
    <row r="92" spans="1:12" ht="26.25" customHeight="1" x14ac:dyDescent="0.4">
      <c r="A92" s="76" t="s">
        <v>64</v>
      </c>
      <c r="B92" s="77">
        <v>1</v>
      </c>
      <c r="C92" s="148">
        <v>2</v>
      </c>
      <c r="D92" s="233">
        <v>87763493</v>
      </c>
      <c r="E92" s="89">
        <f>IF(ISBLANK(D92),"-",$D$101/$D$98*D92)</f>
        <v>81822774.97012645</v>
      </c>
      <c r="F92" s="233">
        <v>85028510</v>
      </c>
      <c r="G92" s="90">
        <f>IF(ISBLANK(F92),"-",$D$101/$F$98*F92)</f>
        <v>82929550.634020343</v>
      </c>
      <c r="I92" s="306">
        <f>ABS((F96/D96*D95)-F95)/D95</f>
        <v>6.8213232171410931E-3</v>
      </c>
    </row>
    <row r="93" spans="1:12" ht="26.25" customHeight="1" x14ac:dyDescent="0.4">
      <c r="A93" s="76" t="s">
        <v>65</v>
      </c>
      <c r="B93" s="77">
        <v>1</v>
      </c>
      <c r="C93" s="148">
        <v>3</v>
      </c>
      <c r="D93" s="233">
        <v>87879450</v>
      </c>
      <c r="E93" s="89">
        <f>IF(ISBLANK(D93),"-",$D$101/$D$98*D93)</f>
        <v>81930882.831298411</v>
      </c>
      <c r="F93" s="233">
        <v>84873034</v>
      </c>
      <c r="G93" s="90">
        <f>IF(ISBLANK(F93),"-",$D$101/$F$98*F93)</f>
        <v>82777912.615026772</v>
      </c>
      <c r="I93" s="306"/>
    </row>
    <row r="94" spans="1:12" ht="27" customHeight="1" x14ac:dyDescent="0.4">
      <c r="A94" s="76" t="s">
        <v>66</v>
      </c>
      <c r="B94" s="77">
        <v>1</v>
      </c>
      <c r="C94" s="165">
        <v>4</v>
      </c>
      <c r="D94" s="93"/>
      <c r="E94" s="94" t="str">
        <f>IF(ISBLANK(D94),"-",$D$101/$D$98*D94)</f>
        <v>-</v>
      </c>
      <c r="F94" s="166"/>
      <c r="G94" s="95" t="str">
        <f>IF(ISBLANK(F94),"-",$D$101/$F$98*F94)</f>
        <v>-</v>
      </c>
      <c r="I94" s="96"/>
    </row>
    <row r="95" spans="1:12" ht="27" customHeight="1" x14ac:dyDescent="0.4">
      <c r="A95" s="76" t="s">
        <v>67</v>
      </c>
      <c r="B95" s="77">
        <v>1</v>
      </c>
      <c r="C95" s="167" t="s">
        <v>68</v>
      </c>
      <c r="D95" s="168">
        <f>AVERAGE(D91:D94)</f>
        <v>87806040.666666672</v>
      </c>
      <c r="E95" s="99">
        <f>AVERAGE(E91:E94)</f>
        <v>81862442.581751361</v>
      </c>
      <c r="F95" s="169">
        <f>AVERAGE(F91:F94)</f>
        <v>84533346.666666672</v>
      </c>
      <c r="G95" s="170">
        <f>AVERAGE(G91:G94)</f>
        <v>82446610.585749745</v>
      </c>
    </row>
    <row r="96" spans="1:12" ht="26.25" customHeight="1" x14ac:dyDescent="0.4">
      <c r="A96" s="76" t="s">
        <v>69</v>
      </c>
      <c r="B96" s="62">
        <v>1</v>
      </c>
      <c r="C96" s="171" t="s">
        <v>110</v>
      </c>
      <c r="D96" s="172">
        <v>24.04</v>
      </c>
      <c r="E96" s="91"/>
      <c r="F96" s="103">
        <v>22.98</v>
      </c>
    </row>
    <row r="97" spans="1:10" ht="26.25" customHeight="1" x14ac:dyDescent="0.4">
      <c r="A97" s="76" t="s">
        <v>71</v>
      </c>
      <c r="B97" s="62">
        <v>1</v>
      </c>
      <c r="C97" s="173" t="s">
        <v>111</v>
      </c>
      <c r="D97" s="174">
        <f>D96*$B$87</f>
        <v>24.04</v>
      </c>
      <c r="E97" s="106"/>
      <c r="F97" s="105">
        <f>F96*$B$87</f>
        <v>22.98</v>
      </c>
    </row>
    <row r="98" spans="1:10" ht="19.5" customHeight="1" x14ac:dyDescent="0.3">
      <c r="A98" s="76" t="s">
        <v>73</v>
      </c>
      <c r="B98" s="175">
        <f>(B97/B96)*(B95/B94)*(B93/B92)*(B91/B90)*B89</f>
        <v>1666.6666666666667</v>
      </c>
      <c r="C98" s="173" t="s">
        <v>112</v>
      </c>
      <c r="D98" s="176">
        <f>D97*$B$83/100</f>
        <v>23.835660000000004</v>
      </c>
      <c r="E98" s="109"/>
      <c r="F98" s="108">
        <f>F97*$B$83/100</f>
        <v>22.784670000000002</v>
      </c>
    </row>
    <row r="99" spans="1:10" ht="19.5" customHeight="1" x14ac:dyDescent="0.3">
      <c r="A99" s="292" t="s">
        <v>75</v>
      </c>
      <c r="B99" s="307"/>
      <c r="C99" s="173" t="s">
        <v>113</v>
      </c>
      <c r="D99" s="177">
        <f>D98/$B$98</f>
        <v>1.4301396000000003E-2</v>
      </c>
      <c r="E99" s="109"/>
      <c r="F99" s="112">
        <f>F98/$B$98</f>
        <v>1.3670802000000001E-2</v>
      </c>
      <c r="G99" s="178"/>
      <c r="H99" s="101"/>
    </row>
    <row r="100" spans="1:10" ht="19.5" customHeight="1" x14ac:dyDescent="0.3">
      <c r="A100" s="294"/>
      <c r="B100" s="308"/>
      <c r="C100" s="173" t="s">
        <v>77</v>
      </c>
      <c r="D100" s="179">
        <f>$B$56/$B$116</f>
        <v>1.3333333333333332E-2</v>
      </c>
      <c r="F100" s="117"/>
      <c r="G100" s="180"/>
      <c r="H100" s="101"/>
    </row>
    <row r="101" spans="1:10" ht="18.75" x14ac:dyDescent="0.3">
      <c r="C101" s="173" t="s">
        <v>78</v>
      </c>
      <c r="D101" s="174">
        <f>D100*$B$98</f>
        <v>22.222222222222221</v>
      </c>
      <c r="F101" s="117"/>
      <c r="G101" s="178"/>
      <c r="H101" s="101"/>
    </row>
    <row r="102" spans="1:10" ht="19.5" customHeight="1" x14ac:dyDescent="0.3">
      <c r="C102" s="181" t="s">
        <v>79</v>
      </c>
      <c r="D102" s="182">
        <f>D101/B34</f>
        <v>22.222222222222221</v>
      </c>
      <c r="F102" s="121"/>
      <c r="G102" s="178"/>
      <c r="H102" s="101"/>
      <c r="J102" s="183"/>
    </row>
    <row r="103" spans="1:10" ht="18.75" x14ac:dyDescent="0.3">
      <c r="C103" s="184" t="s">
        <v>114</v>
      </c>
      <c r="D103" s="185">
        <f>AVERAGE(E91:E94,G91:G94)</f>
        <v>82154526.583750561</v>
      </c>
      <c r="F103" s="121"/>
      <c r="G103" s="186"/>
      <c r="H103" s="101"/>
      <c r="J103" s="187"/>
    </row>
    <row r="104" spans="1:10" ht="18.75" x14ac:dyDescent="0.3">
      <c r="C104" s="151" t="s">
        <v>81</v>
      </c>
      <c r="D104" s="188">
        <f>STDEV(E91:E94,G91:G94)/D103</f>
        <v>6.7221894900710722E-3</v>
      </c>
      <c r="F104" s="121"/>
      <c r="G104" s="178"/>
      <c r="H104" s="101"/>
      <c r="J104" s="187"/>
    </row>
    <row r="105" spans="1:10" ht="19.5" customHeight="1" x14ac:dyDescent="0.3">
      <c r="C105" s="153" t="s">
        <v>20</v>
      </c>
      <c r="D105" s="189">
        <f>COUNT(E91:E94,G91:G94)</f>
        <v>6</v>
      </c>
      <c r="F105" s="121"/>
      <c r="G105" s="178"/>
      <c r="H105" s="101"/>
      <c r="J105" s="187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6.25" customHeight="1" x14ac:dyDescent="0.4">
      <c r="A107" s="74" t="s">
        <v>115</v>
      </c>
      <c r="B107" s="75">
        <v>900</v>
      </c>
      <c r="C107" s="190" t="s">
        <v>116</v>
      </c>
      <c r="D107" s="191" t="s">
        <v>60</v>
      </c>
      <c r="E107" s="192" t="s">
        <v>117</v>
      </c>
      <c r="F107" s="193" t="s">
        <v>118</v>
      </c>
    </row>
    <row r="108" spans="1:10" ht="26.25" customHeight="1" x14ac:dyDescent="0.4">
      <c r="A108" s="76" t="s">
        <v>119</v>
      </c>
      <c r="B108" s="77">
        <v>3</v>
      </c>
      <c r="C108" s="194">
        <v>1</v>
      </c>
      <c r="D108" s="195">
        <v>82798059</v>
      </c>
      <c r="E108" s="226">
        <f t="shared" ref="E108:E113" si="1">IF(ISBLANK(D108),"-",D108/$D$103*$D$100*$B$116)</f>
        <v>201.56663897416146</v>
      </c>
      <c r="F108" s="196">
        <f t="shared" ref="F108:F113" si="2">IF(ISBLANK(D108), "-", E108/$B$56)</f>
        <v>1.0078331948708072</v>
      </c>
    </row>
    <row r="109" spans="1:10" ht="26.25" customHeight="1" x14ac:dyDescent="0.4">
      <c r="A109" s="76" t="s">
        <v>92</v>
      </c>
      <c r="B109" s="77">
        <v>50</v>
      </c>
      <c r="C109" s="194">
        <v>2</v>
      </c>
      <c r="D109" s="195">
        <v>66711822</v>
      </c>
      <c r="E109" s="227">
        <f t="shared" si="1"/>
        <v>162.40571219649635</v>
      </c>
      <c r="F109" s="197">
        <f t="shared" si="2"/>
        <v>0.81202856098248177</v>
      </c>
    </row>
    <row r="110" spans="1:10" ht="26.25" customHeight="1" x14ac:dyDescent="0.4">
      <c r="A110" s="76" t="s">
        <v>93</v>
      </c>
      <c r="B110" s="77">
        <v>1</v>
      </c>
      <c r="C110" s="194">
        <v>3</v>
      </c>
      <c r="D110" s="195">
        <v>90190257</v>
      </c>
      <c r="E110" s="227">
        <f t="shared" si="1"/>
        <v>219.56247756612072</v>
      </c>
      <c r="F110" s="197">
        <f t="shared" si="2"/>
        <v>1.0978123878306036</v>
      </c>
    </row>
    <row r="111" spans="1:10" ht="26.25" customHeight="1" x14ac:dyDescent="0.4">
      <c r="A111" s="76" t="s">
        <v>94</v>
      </c>
      <c r="B111" s="77">
        <v>1</v>
      </c>
      <c r="C111" s="194">
        <v>4</v>
      </c>
      <c r="D111" s="195">
        <v>83400891</v>
      </c>
      <c r="E111" s="227">
        <f t="shared" si="1"/>
        <v>203.03419535861815</v>
      </c>
      <c r="F111" s="197">
        <f t="shared" si="2"/>
        <v>1.0151709767930908</v>
      </c>
    </row>
    <row r="112" spans="1:10" ht="26.25" customHeight="1" x14ac:dyDescent="0.4">
      <c r="A112" s="76" t="s">
        <v>95</v>
      </c>
      <c r="B112" s="77">
        <v>1</v>
      </c>
      <c r="C112" s="194">
        <v>5</v>
      </c>
      <c r="D112" s="195">
        <v>68863679</v>
      </c>
      <c r="E112" s="227">
        <f t="shared" si="1"/>
        <v>167.64427199224014</v>
      </c>
      <c r="F112" s="197">
        <f t="shared" si="2"/>
        <v>0.83822135996120073</v>
      </c>
    </row>
    <row r="113" spans="1:10" ht="26.25" customHeight="1" x14ac:dyDescent="0.4">
      <c r="A113" s="76" t="s">
        <v>97</v>
      </c>
      <c r="B113" s="77">
        <v>1</v>
      </c>
      <c r="C113" s="198">
        <v>6</v>
      </c>
      <c r="D113" s="199">
        <v>89165897</v>
      </c>
      <c r="E113" s="228">
        <f t="shared" si="1"/>
        <v>217.06873792061077</v>
      </c>
      <c r="F113" s="200">
        <f t="shared" si="2"/>
        <v>1.0853436896030539</v>
      </c>
    </row>
    <row r="114" spans="1:10" ht="26.25" customHeight="1" x14ac:dyDescent="0.4">
      <c r="A114" s="76" t="s">
        <v>98</v>
      </c>
      <c r="B114" s="77">
        <v>1</v>
      </c>
      <c r="C114" s="194"/>
      <c r="D114" s="148"/>
      <c r="E114" s="50"/>
      <c r="F114" s="201"/>
    </row>
    <row r="115" spans="1:10" ht="26.25" customHeight="1" x14ac:dyDescent="0.4">
      <c r="A115" s="76" t="s">
        <v>99</v>
      </c>
      <c r="B115" s="77">
        <v>1</v>
      </c>
      <c r="C115" s="194"/>
      <c r="D115" s="202" t="s">
        <v>68</v>
      </c>
      <c r="E115" s="230">
        <f>AVERAGE(E108:E113)</f>
        <v>195.21367233470792</v>
      </c>
      <c r="F115" s="203">
        <f>AVERAGE(F108:F113)</f>
        <v>0.97606836167353972</v>
      </c>
    </row>
    <row r="116" spans="1:10" ht="27" customHeight="1" x14ac:dyDescent="0.4">
      <c r="A116" s="76" t="s">
        <v>100</v>
      </c>
      <c r="B116" s="107">
        <f>(B115/B114)*(B113/B112)*(B111/B110)*(B109/B108)*B107</f>
        <v>15000.000000000002</v>
      </c>
      <c r="C116" s="204"/>
      <c r="D116" s="167" t="s">
        <v>81</v>
      </c>
      <c r="E116" s="205">
        <f>STDEV(E108:E113)/E115</f>
        <v>0.1256542284567144</v>
      </c>
      <c r="F116" s="205">
        <f>STDEV(F108:F113)/F115</f>
        <v>0.12565422845671331</v>
      </c>
      <c r="I116" s="50"/>
    </row>
    <row r="117" spans="1:10" ht="27" customHeight="1" x14ac:dyDescent="0.4">
      <c r="A117" s="292" t="s">
        <v>75</v>
      </c>
      <c r="B117" s="293"/>
      <c r="C117" s="206"/>
      <c r="D117" s="207" t="s">
        <v>20</v>
      </c>
      <c r="E117" s="208">
        <f>COUNT(E108:E113)</f>
        <v>6</v>
      </c>
      <c r="F117" s="208">
        <f>COUNT(F108:F113)</f>
        <v>6</v>
      </c>
      <c r="I117" s="50"/>
      <c r="J117" s="187"/>
    </row>
    <row r="118" spans="1:10" ht="19.5" customHeight="1" x14ac:dyDescent="0.3">
      <c r="A118" s="294"/>
      <c r="B118" s="295"/>
      <c r="C118" s="50"/>
      <c r="D118" s="50"/>
      <c r="E118" s="50"/>
      <c r="F118" s="148"/>
      <c r="G118" s="50"/>
      <c r="H118" s="50"/>
      <c r="I118" s="50"/>
    </row>
    <row r="119" spans="1:10" ht="18.75" x14ac:dyDescent="0.3">
      <c r="A119" s="217"/>
      <c r="B119" s="72"/>
      <c r="C119" s="50"/>
      <c r="D119" s="50"/>
      <c r="E119" s="50"/>
      <c r="F119" s="148"/>
      <c r="G119" s="50"/>
      <c r="H119" s="50"/>
      <c r="I119" s="50"/>
    </row>
    <row r="120" spans="1:10" ht="26.25" customHeight="1" x14ac:dyDescent="0.4">
      <c r="A120" s="60" t="s">
        <v>103</v>
      </c>
      <c r="B120" s="155" t="s">
        <v>120</v>
      </c>
      <c r="C120" s="296" t="str">
        <f>B20</f>
        <v>Nevirapine USP</v>
      </c>
      <c r="D120" s="296"/>
      <c r="E120" s="156" t="s">
        <v>121</v>
      </c>
      <c r="F120" s="156"/>
      <c r="G120" s="157">
        <f>F115</f>
        <v>0.97606836167353972</v>
      </c>
      <c r="H120" s="50"/>
      <c r="I120" s="50"/>
    </row>
    <row r="121" spans="1:10" ht="19.5" customHeight="1" x14ac:dyDescent="0.3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297" t="s">
        <v>23</v>
      </c>
      <c r="C122" s="297"/>
      <c r="E122" s="162" t="s">
        <v>24</v>
      </c>
      <c r="F122" s="211"/>
      <c r="G122" s="297" t="s">
        <v>25</v>
      </c>
      <c r="H122" s="297"/>
    </row>
    <row r="123" spans="1:10" ht="69.95" customHeight="1" x14ac:dyDescent="0.3">
      <c r="A123" s="212" t="s">
        <v>26</v>
      </c>
      <c r="B123" s="213"/>
      <c r="C123" s="213"/>
      <c r="E123" s="213"/>
      <c r="F123" s="50"/>
      <c r="G123" s="214"/>
      <c r="H123" s="214"/>
    </row>
    <row r="124" spans="1:10" ht="69.95" customHeight="1" x14ac:dyDescent="0.3">
      <c r="A124" s="212" t="s">
        <v>27</v>
      </c>
      <c r="B124" s="215"/>
      <c r="C124" s="215"/>
      <c r="E124" s="215"/>
      <c r="F124" s="50"/>
      <c r="G124" s="216"/>
      <c r="H124" s="216"/>
    </row>
    <row r="125" spans="1:10" ht="18.75" x14ac:dyDescent="0.3">
      <c r="A125" s="147"/>
      <c r="B125" s="147"/>
      <c r="C125" s="148"/>
      <c r="D125" s="148"/>
      <c r="E125" s="148"/>
      <c r="F125" s="152"/>
      <c r="G125" s="148"/>
      <c r="H125" s="148"/>
      <c r="I125" s="50"/>
    </row>
    <row r="126" spans="1:10" ht="18.75" x14ac:dyDescent="0.3">
      <c r="A126" s="147"/>
      <c r="B126" s="147"/>
      <c r="C126" s="148"/>
      <c r="D126" s="148"/>
      <c r="E126" s="148"/>
      <c r="F126" s="152"/>
      <c r="G126" s="148"/>
      <c r="H126" s="148"/>
      <c r="I126" s="50"/>
    </row>
    <row r="127" spans="1:10" ht="18.75" x14ac:dyDescent="0.3">
      <c r="A127" s="147"/>
      <c r="B127" s="147"/>
      <c r="C127" s="148"/>
      <c r="D127" s="148"/>
      <c r="E127" s="148"/>
      <c r="F127" s="152"/>
      <c r="G127" s="148"/>
      <c r="H127" s="148"/>
      <c r="I127" s="50"/>
    </row>
    <row r="128" spans="1:10" ht="18.75" x14ac:dyDescent="0.3">
      <c r="A128" s="147"/>
      <c r="B128" s="147"/>
      <c r="C128" s="148"/>
      <c r="D128" s="148"/>
      <c r="E128" s="148"/>
      <c r="F128" s="152"/>
      <c r="G128" s="148"/>
      <c r="H128" s="148"/>
      <c r="I128" s="50"/>
    </row>
    <row r="129" spans="1:9" ht="18.75" x14ac:dyDescent="0.3">
      <c r="A129" s="147"/>
      <c r="B129" s="147"/>
      <c r="C129" s="148"/>
      <c r="D129" s="148"/>
      <c r="E129" s="148"/>
      <c r="F129" s="152"/>
      <c r="G129" s="148"/>
      <c r="H129" s="148"/>
      <c r="I129" s="50"/>
    </row>
    <row r="130" spans="1:9" ht="18.75" x14ac:dyDescent="0.3">
      <c r="A130" s="147"/>
      <c r="B130" s="147"/>
      <c r="C130" s="148"/>
      <c r="D130" s="148"/>
      <c r="E130" s="148"/>
      <c r="F130" s="152"/>
      <c r="G130" s="148"/>
      <c r="H130" s="148"/>
      <c r="I130" s="50"/>
    </row>
    <row r="131" spans="1:9" ht="18.75" x14ac:dyDescent="0.3">
      <c r="A131" s="147"/>
      <c r="B131" s="147"/>
      <c r="C131" s="148"/>
      <c r="D131" s="148"/>
      <c r="E131" s="148"/>
      <c r="F131" s="152"/>
      <c r="G131" s="148"/>
      <c r="H131" s="148"/>
      <c r="I131" s="50"/>
    </row>
    <row r="132" spans="1:9" ht="18.75" x14ac:dyDescent="0.3">
      <c r="A132" s="147"/>
      <c r="B132" s="147"/>
      <c r="C132" s="148"/>
      <c r="D132" s="148"/>
      <c r="E132" s="148"/>
      <c r="F132" s="152"/>
      <c r="G132" s="148"/>
      <c r="H132" s="148"/>
      <c r="I132" s="50"/>
    </row>
    <row r="133" spans="1:9" ht="18.75" x14ac:dyDescent="0.3">
      <c r="A133" s="147"/>
      <c r="B133" s="147"/>
      <c r="C133" s="148"/>
      <c r="D133" s="148"/>
      <c r="E133" s="148"/>
      <c r="F133" s="152"/>
      <c r="G133" s="148"/>
      <c r="H133" s="148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1:F24"/>
  <sheetViews>
    <sheetView workbookViewId="0">
      <selection activeCell="F21" sqref="F21"/>
    </sheetView>
  </sheetViews>
  <sheetFormatPr defaultRowHeight="12.75" x14ac:dyDescent="0.2"/>
  <sheetData>
    <row r="21" spans="6:6" x14ac:dyDescent="0.2">
      <c r="F21">
        <f>25/50*2/50</f>
        <v>0.02</v>
      </c>
    </row>
    <row r="24" spans="6:6" x14ac:dyDescent="0.2">
      <c r="F24">
        <f>200/200*5/100*4/10</f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 (2)</vt:lpstr>
      <vt:lpstr>Uniformity</vt:lpstr>
      <vt:lpstr>Nevirapine</vt:lpstr>
      <vt:lpstr>Sheet1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2016-06-16T13:00:03Z</cp:lastPrinted>
  <dcterms:created xsi:type="dcterms:W3CDTF">2005-07-05T10:19:27Z</dcterms:created>
  <dcterms:modified xsi:type="dcterms:W3CDTF">2016-06-16T13:00:10Z</dcterms:modified>
</cp:coreProperties>
</file>