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3"/>
  </bookViews>
  <sheets>
    <sheet name="SST 3TC" sheetId="7" r:id="rId1"/>
    <sheet name="SST TDF" sheetId="10" r:id="rId2"/>
    <sheet name="Uniformity" sheetId="6" r:id="rId3"/>
    <sheet name="3TC" sheetId="3" r:id="rId4"/>
    <sheet name="TDF" sheetId="4" r:id="rId5"/>
  </sheets>
  <definedNames>
    <definedName name="_xlnm.Print_Area" localSheetId="3">'3TC'!$A$1:$I$124</definedName>
    <definedName name="_xlnm.Print_Area" localSheetId="0">'SST 3TC'!$A$15:$G$61</definedName>
    <definedName name="_xlnm.Print_Area" localSheetId="4">TDF!$A$1:$I$124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10" l="1"/>
  <c r="F51" i="10"/>
  <c r="E51" i="10"/>
  <c r="D51" i="10"/>
  <c r="C51" i="10"/>
  <c r="B51" i="10"/>
  <c r="B52" i="10" s="1"/>
  <c r="B32" i="10"/>
  <c r="F30" i="10"/>
  <c r="E30" i="10"/>
  <c r="D30" i="10"/>
  <c r="C30" i="10"/>
  <c r="B30" i="10"/>
  <c r="B31" i="10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C46" i="6" l="1"/>
  <c r="D50" i="6" s="1"/>
  <c r="C45" i="6"/>
  <c r="C19" i="6"/>
  <c r="D25" i="6" l="1"/>
  <c r="D29" i="6"/>
  <c r="D33" i="6"/>
  <c r="D41" i="6"/>
  <c r="D27" i="6"/>
  <c r="D31" i="6"/>
  <c r="D35" i="6"/>
  <c r="D39" i="6"/>
  <c r="D43" i="6"/>
  <c r="C49" i="6"/>
  <c r="D24" i="6"/>
  <c r="D28" i="6"/>
  <c r="D32" i="6"/>
  <c r="D36" i="6"/>
  <c r="D40" i="6"/>
  <c r="D49" i="6"/>
  <c r="D37" i="6"/>
  <c r="C50" i="6"/>
  <c r="D26" i="6"/>
  <c r="D30" i="6"/>
  <c r="D34" i="6"/>
  <c r="D38" i="6"/>
  <c r="D42" i="6"/>
  <c r="B49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<sst xmlns="http://schemas.openxmlformats.org/spreadsheetml/2006/main" count="440" uniqueCount="135">
  <si>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</si>
  <si>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</si>
  <si>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</si>
  <si>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</si>
  <si>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</si>
  <si>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</si>
  <si>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</si>
  <si>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</si>
  <si>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</si>
  <si>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</si>
  <si>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</si>
  <si>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</si>
  <si>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</si>
  <si>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</si>
  <si>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</si>
  <si>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</si>
  <si>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</si>
  <si>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</si>
  <si>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</si>
  <si>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</si>
  <si>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</si>
  <si>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</si>
  <si>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</si>
  <si>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</si>
  <si>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</si>
  <si>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</si>
  <si>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</si>
  <si>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</si>
  <si>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</si>
  <si>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</si>
  <si>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</si>
  <si>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</si>
  <si>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</si>
  <si>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</si>
  <si>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</si>
  <si>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</si>
  <si>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</si>
  <si>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</si>
  <si>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</si>
  <si>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</si>
  <si>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</si>
  <si>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</si>
  <si>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</si>
  <si>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</si>
  <si>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</si>
  <si>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</si>
  <si>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</si>
  <si>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</si>
  <si>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</si>
  <si>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</si>
  <si>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</si>
  <si>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</si>
  <si>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</si>
  <si>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</si>
  <si>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</si>
  <si>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</si>
  <si>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</si>
  <si>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</si>
  <si>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</si>
  <si>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</si>
  <si>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</si>
  <si>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</si>
  <si>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</si>
  <si>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</si>
  <si>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</si>
  <si>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</si>
  <si>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</si>
  <si>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</si>
  <si>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</si>
  <si>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</si>
  <si>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</si>
  <si>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</si>
  <si>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</si>
  <si>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</si>
  <si>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</si>
  <si>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</si>
  <si>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</si>
  <si>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</si>
  <si>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</si>
  <si>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</si>
  <si>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</si>
  <si>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</si>
  <si>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</si>
  <si>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</si>
  <si>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</si>
  <si>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</si>
  <si>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</si>
  <si>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</si>
  <si>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</si>
  <si>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</si>
  <si>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</si>
  <si>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</si>
  <si>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</si>
  <si>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</si>
  <si>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</si>
  <si>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</si>
  <si>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</si>
  <si>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</si>
  <si>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</si>
  <si>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</si>
  <si>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</si>
  <si>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</si>
  <si>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</si>
  <si>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</si>
  <si>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</si>
  <si>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</si>
  <si>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</si>
  <si>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</si>
  <si>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</si>
  <si>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</si>
  <si>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LAMIVUDINE AND TENOFOVIR DISOPROXIL FUMARATE TABLETS</t>
  </si>
  <si>
    <t>NDQB2016061151</t>
  </si>
  <si>
    <t>Lamivudine and Tenofovir Disoproxil Fumarate</t>
  </si>
  <si>
    <t>Each tablet contains Lamivudine 300mg and Tenofovir Disoproxil Fumarate 300mg</t>
  </si>
  <si>
    <t>2016-06-09 11:00:16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</si>
  <si>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</si>
  <si>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</si>
  <si>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</si>
  <si>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</si>
  <si>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</si>
  <si>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</si>
  <si>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</si>
  <si>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</si>
  <si>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</si>
  <si>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</si>
  <si>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</si>
  <si>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</si>
  <si>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</si>
  <si>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</si>
  <si>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</si>
  <si>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</si>
  <si>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</si>
  <si>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</si>
  <si>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 enofovir Disoproxil Fumarate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</si>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</sst>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  <font>
      <b/>
      <sz val="12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553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7" xfId="1" applyNumberFormat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8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9" xfId="1" applyNumberFormat="1" applyFont="1" applyFill="1" applyBorder="1" applyAlignment="1">
      <alignment horizontal="center"/>
    </xf>
    <xf numFmtId="2" fontId="6" fillId="3" borderId="10" xfId="1" applyNumberFormat="1" applyFont="1" applyFill="1" applyBorder="1" applyProtection="1">
      <protection locked="0"/>
    </xf>
    <xf numFmtId="10" fontId="6" fillId="2" borderId="10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7" xfId="1" applyFont="1" applyFill="1" applyBorder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7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1" xfId="1" applyNumberFormat="1" applyFont="1" applyFill="1" applyBorder="1" applyAlignment="1">
      <alignment horizontal="center"/>
    </xf>
    <xf numFmtId="2" fontId="5" fillId="2" borderId="7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0" xfId="1" applyFont="1" applyFill="1" applyAlignment="1">
      <alignment horizontal="center"/>
    </xf>
    <xf numFmtId="10" fontId="6" fillId="2" borderId="4" xfId="1" applyNumberFormat="1" applyFont="1" applyFill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3" xfId="1" applyFont="1" applyFill="1" applyBorder="1"/>
    <xf numFmtId="0" fontId="5" fillId="2" borderId="6" xfId="1" applyFont="1" applyFill="1" applyBorder="1"/>
    <xf numFmtId="0" fontId="5" fillId="2" borderId="0" xfId="1" applyFont="1" applyFill="1"/>
    <xf numFmtId="0" fontId="6" fillId="2" borderId="6" xfId="1" applyFont="1" applyFill="1" applyBorder="1"/>
    <xf numFmtId="0" fontId="23" fillId="2" borderId="0" xfId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25" fillId="2" borderId="0" xfId="3" applyFont="1" applyFill="1" applyAlignment="1">
      <alignment horizontal="left"/>
    </xf>
    <xf numFmtId="0" fontId="26" fillId="3" borderId="0" xfId="0" applyFont="1" applyFill="1" applyAlignment="1" applyProtection="1">
      <alignment horizontal="left"/>
      <protection locked="0"/>
    </xf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5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3" fillId="2" borderId="0" xfId="4" applyFont="1" applyFill="1" applyAlignment="1">
      <alignment horizontal="center"/>
    </xf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left"/>
    </xf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2" borderId="54" xfId="4" applyFont="1" applyFill="1" applyBorder="1" applyAlignment="1">
      <alignment horizontal="center"/>
    </xf>
    <xf numFmtId="0" fontId="24" fillId="3" borderId="54" xfId="4" applyFont="1" applyFill="1" applyBorder="1" applyAlignment="1" applyProtection="1">
      <alignment horizontal="center"/>
      <protection locked="0"/>
    </xf>
    <xf numFmtId="2" fontId="24" fillId="3" borderId="54" xfId="4" applyNumberFormat="1" applyFont="1" applyFill="1" applyBorder="1" applyAlignment="1" applyProtection="1">
      <alignment horizontal="center"/>
      <protection locked="0"/>
    </xf>
    <xf numFmtId="2" fontId="24" fillId="3" borderId="55" xfId="4" applyNumberFormat="1" applyFont="1" applyFill="1" applyBorder="1" applyAlignment="1" applyProtection="1">
      <alignment horizontal="center"/>
      <protection locked="0"/>
    </xf>
    <xf numFmtId="0" fontId="24" fillId="3" borderId="56" xfId="4" applyFont="1" applyFill="1" applyBorder="1" applyAlignment="1" applyProtection="1">
      <alignment horizontal="center"/>
      <protection locked="0"/>
    </xf>
    <xf numFmtId="2" fontId="24" fillId="3" borderId="56" xfId="4" applyNumberFormat="1" applyFont="1" applyFill="1" applyBorder="1" applyAlignment="1" applyProtection="1">
      <alignment horizontal="center"/>
      <protection locked="0"/>
    </xf>
    <xf numFmtId="0" fontId="6" fillId="2" borderId="55" xfId="4" applyFont="1" applyFill="1" applyBorder="1"/>
    <xf numFmtId="1" fontId="5" fillId="6" borderId="2" xfId="4" applyNumberFormat="1" applyFont="1" applyFill="1" applyBorder="1" applyAlignment="1">
      <alignment horizontal="center"/>
    </xf>
    <xf numFmtId="1" fontId="5" fillId="6" borderId="1" xfId="4" applyNumberFormat="1" applyFont="1" applyFill="1" applyBorder="1" applyAlignment="1">
      <alignment horizontal="center"/>
    </xf>
    <xf numFmtId="2" fontId="5" fillId="6" borderId="1" xfId="4" applyNumberFormat="1" applyFont="1" applyFill="1" applyBorder="1" applyAlignment="1">
      <alignment horizontal="center"/>
    </xf>
    <xf numFmtId="0" fontId="6" fillId="2" borderId="54" xfId="4" applyFont="1" applyFill="1" applyBorder="1"/>
    <xf numFmtId="10" fontId="5" fillId="7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57" xfId="4" applyFont="1" applyFill="1" applyBorder="1"/>
    <xf numFmtId="0" fontId="6" fillId="2" borderId="56" xfId="4" applyFont="1" applyFill="1" applyBorder="1"/>
    <xf numFmtId="0" fontId="5" fillId="6" borderId="1" xfId="4" applyFont="1" applyFill="1" applyBorder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6" fillId="2" borderId="3" xfId="4" applyFont="1" applyFill="1" applyBorder="1"/>
    <xf numFmtId="0" fontId="6" fillId="2" borderId="5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4" xfId="4" applyFont="1" applyFill="1" applyBorder="1"/>
    <xf numFmtId="0" fontId="2" fillId="2" borderId="0" xfId="4" applyFont="1" applyFill="1" applyAlignment="1">
      <alignment horizontal="center"/>
    </xf>
    <xf numFmtId="10" fontId="2" fillId="2" borderId="4" xfId="4" applyNumberFormat="1" applyFont="1" applyFill="1" applyBorder="1"/>
    <xf numFmtId="0" fontId="23" fillId="2" borderId="0" xfId="4" applyFill="1"/>
    <xf numFmtId="0" fontId="1" fillId="2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2" fillId="2" borderId="5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3" xfId="4" applyFont="1" applyFill="1" applyBorder="1"/>
    <xf numFmtId="0" fontId="1" fillId="2" borderId="6" xfId="4" applyFont="1" applyFill="1" applyBorder="1"/>
    <xf numFmtId="0" fontId="2" fillId="2" borderId="6" xfId="4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19" sqref="C19"/>
    </sheetView>
  </sheetViews>
  <sheetFormatPr defaultRowHeight="13.5" x14ac:dyDescent="0.25"/>
  <cols>
    <col min="1" max="1" width="27.5703125" style="412" customWidth="1"/>
    <col min="2" max="2" width="20.42578125" style="412" customWidth="1"/>
    <col min="3" max="3" width="31.85546875" style="412" customWidth="1"/>
    <col min="4" max="4" width="25.85546875" style="412" customWidth="1"/>
    <col min="5" max="5" width="25.7109375" style="412" customWidth="1"/>
    <col min="6" max="6" width="23.140625" style="412" customWidth="1"/>
    <col min="7" max="7" width="28.42578125" style="412" customWidth="1"/>
    <col min="8" max="8" width="21.5703125" style="412" customWidth="1"/>
    <col min="9" max="9" width="9.140625" style="412" customWidth="1"/>
    <col min="10" max="16384" width="9.140625" style="448"/>
  </cols>
  <sheetData>
    <row r="14" spans="1:6" ht="15" customHeight="1" x14ac:dyDescent="0.3">
      <c r="A14" s="411"/>
      <c r="C14" s="413"/>
      <c r="F14" s="413"/>
    </row>
    <row r="15" spans="1:6" ht="18.75" customHeight="1" x14ac:dyDescent="0.3">
      <c r="A15" s="457" t="s">
        <v>115</v>
      </c>
      <c r="B15" s="457"/>
      <c r="C15" s="457"/>
      <c r="D15" s="457"/>
      <c r="E15" s="457"/>
    </row>
    <row r="16" spans="1:6" ht="16.5" customHeight="1" x14ac:dyDescent="0.3">
      <c r="A16" s="414" t="s">
        <v>0</v>
      </c>
      <c r="B16" s="415" t="s">
        <v>116</v>
      </c>
    </row>
    <row r="17" spans="1:5" ht="16.5" customHeight="1" x14ac:dyDescent="0.3">
      <c r="A17" s="416" t="s">
        <v>117</v>
      </c>
      <c r="B17" s="455" t="s">
        <v>111</v>
      </c>
      <c r="D17" s="417"/>
      <c r="E17" s="418"/>
    </row>
    <row r="18" spans="1:5" ht="16.5" customHeight="1" x14ac:dyDescent="0.3">
      <c r="A18" s="419" t="s">
        <v>1</v>
      </c>
      <c r="B18" s="420" t="s">
        <v>105</v>
      </c>
      <c r="C18" s="418"/>
      <c r="D18" s="418"/>
      <c r="E18" s="418"/>
    </row>
    <row r="19" spans="1:5" ht="16.5" customHeight="1" x14ac:dyDescent="0.3">
      <c r="A19" s="419" t="s">
        <v>2</v>
      </c>
      <c r="B19" s="420">
        <v>100.4</v>
      </c>
      <c r="C19" s="418"/>
      <c r="D19" s="418"/>
      <c r="E19" s="418"/>
    </row>
    <row r="20" spans="1:5" ht="16.5" customHeight="1" x14ac:dyDescent="0.3">
      <c r="A20" s="416" t="s">
        <v>118</v>
      </c>
      <c r="B20" s="420">
        <v>20.59</v>
      </c>
      <c r="C20" s="418"/>
      <c r="D20" s="418"/>
      <c r="E20" s="418"/>
    </row>
    <row r="21" spans="1:5" ht="16.5" customHeight="1" x14ac:dyDescent="0.3">
      <c r="A21" s="416" t="s">
        <v>119</v>
      </c>
      <c r="B21" s="421">
        <v>0.1</v>
      </c>
      <c r="C21" s="418"/>
      <c r="D21" s="418"/>
      <c r="E21" s="418"/>
    </row>
    <row r="22" spans="1:5" ht="15.75" customHeight="1" x14ac:dyDescent="0.25">
      <c r="A22" s="418"/>
      <c r="B22" s="418"/>
      <c r="C22" s="418"/>
      <c r="D22" s="418"/>
      <c r="E22" s="418"/>
    </row>
    <row r="23" spans="1:5" ht="16.5" customHeight="1" x14ac:dyDescent="0.3">
      <c r="A23" s="422" t="s">
        <v>120</v>
      </c>
      <c r="B23" s="423" t="s">
        <v>121</v>
      </c>
      <c r="C23" s="422" t="s">
        <v>122</v>
      </c>
      <c r="D23" s="422" t="s">
        <v>123</v>
      </c>
      <c r="E23" s="422" t="s">
        <v>124</v>
      </c>
    </row>
    <row r="24" spans="1:5" ht="16.5" customHeight="1" x14ac:dyDescent="0.3">
      <c r="A24" s="424">
        <v>1</v>
      </c>
      <c r="B24" s="425">
        <v>57316657</v>
      </c>
      <c r="C24" s="425">
        <v>6851.43</v>
      </c>
      <c r="D24" s="426">
        <v>1.28</v>
      </c>
      <c r="E24" s="427">
        <v>2.98</v>
      </c>
    </row>
    <row r="25" spans="1:5" ht="16.5" customHeight="1" x14ac:dyDescent="0.3">
      <c r="A25" s="424">
        <v>2</v>
      </c>
      <c r="B25" s="425">
        <v>57592703</v>
      </c>
      <c r="C25" s="425">
        <v>6852.52</v>
      </c>
      <c r="D25" s="426">
        <v>1.3</v>
      </c>
      <c r="E25" s="426">
        <v>2.98</v>
      </c>
    </row>
    <row r="26" spans="1:5" ht="16.5" customHeight="1" x14ac:dyDescent="0.3">
      <c r="A26" s="424">
        <v>3</v>
      </c>
      <c r="B26" s="425">
        <v>57461813</v>
      </c>
      <c r="C26" s="425">
        <v>6836.82</v>
      </c>
      <c r="D26" s="426">
        <v>1.3</v>
      </c>
      <c r="E26" s="426">
        <v>2.98</v>
      </c>
    </row>
    <row r="27" spans="1:5" ht="16.5" customHeight="1" x14ac:dyDescent="0.3">
      <c r="A27" s="424">
        <v>4</v>
      </c>
      <c r="B27" s="425">
        <v>57444491</v>
      </c>
      <c r="C27" s="425">
        <v>6840.24</v>
      </c>
      <c r="D27" s="426">
        <v>1.28</v>
      </c>
      <c r="E27" s="426">
        <v>2.98</v>
      </c>
    </row>
    <row r="28" spans="1:5" ht="16.5" customHeight="1" x14ac:dyDescent="0.3">
      <c r="A28" s="424">
        <v>5</v>
      </c>
      <c r="B28" s="425">
        <v>57576504</v>
      </c>
      <c r="C28" s="425">
        <v>6781.34</v>
      </c>
      <c r="D28" s="426">
        <v>1.27</v>
      </c>
      <c r="E28" s="426">
        <v>2.98</v>
      </c>
    </row>
    <row r="29" spans="1:5" ht="16.5" customHeight="1" x14ac:dyDescent="0.3">
      <c r="A29" s="424">
        <v>6</v>
      </c>
      <c r="B29" s="428">
        <v>57172787</v>
      </c>
      <c r="C29" s="428">
        <v>6794</v>
      </c>
      <c r="D29" s="429">
        <v>1.31</v>
      </c>
      <c r="E29" s="429">
        <v>2.98</v>
      </c>
    </row>
    <row r="30" spans="1:5" ht="16.5" customHeight="1" x14ac:dyDescent="0.3">
      <c r="A30" s="430" t="s">
        <v>125</v>
      </c>
      <c r="B30" s="431">
        <f>AVERAGE(B24:B29)</f>
        <v>57427492.5</v>
      </c>
      <c r="C30" s="432">
        <f>AVERAGE(C24:C29)</f>
        <v>6826.0583333333343</v>
      </c>
      <c r="D30" s="433">
        <f>AVERAGE(D24:D29)</f>
        <v>1.29</v>
      </c>
      <c r="E30" s="433">
        <f>AVERAGE(E24:E29)</f>
        <v>2.98</v>
      </c>
    </row>
    <row r="31" spans="1:5" ht="16.5" customHeight="1" x14ac:dyDescent="0.3">
      <c r="A31" s="434" t="s">
        <v>126</v>
      </c>
      <c r="B31" s="435">
        <f>(STDEV(B24:B29)/B30)</f>
        <v>2.7874840539569195E-3</v>
      </c>
      <c r="C31" s="436"/>
      <c r="D31" s="436"/>
      <c r="E31" s="437"/>
    </row>
    <row r="32" spans="1:5" s="412" customFormat="1" ht="16.5" customHeight="1" x14ac:dyDescent="0.3">
      <c r="A32" s="438" t="s">
        <v>3</v>
      </c>
      <c r="B32" s="439">
        <f>COUNT(B24:B29)</f>
        <v>6</v>
      </c>
      <c r="C32" s="440"/>
      <c r="D32" s="441"/>
      <c r="E32" s="442"/>
    </row>
    <row r="33" spans="1:5" s="412" customFormat="1" ht="15.75" customHeight="1" x14ac:dyDescent="0.25">
      <c r="A33" s="418"/>
      <c r="B33" s="418"/>
      <c r="C33" s="418"/>
      <c r="D33" s="418"/>
      <c r="E33" s="418"/>
    </row>
    <row r="34" spans="1:5" s="412" customFormat="1" ht="16.5" customHeight="1" x14ac:dyDescent="0.3">
      <c r="A34" s="419" t="s">
        <v>127</v>
      </c>
      <c r="B34" s="443" t="s">
        <v>128</v>
      </c>
      <c r="C34" s="444"/>
      <c r="D34" s="444"/>
      <c r="E34" s="444"/>
    </row>
    <row r="35" spans="1:5" ht="16.5" customHeight="1" x14ac:dyDescent="0.3">
      <c r="A35" s="419"/>
      <c r="B35" s="443" t="s">
        <v>129</v>
      </c>
      <c r="C35" s="444"/>
      <c r="D35" s="444"/>
      <c r="E35" s="444"/>
    </row>
    <row r="36" spans="1:5" ht="16.5" customHeight="1" x14ac:dyDescent="0.3">
      <c r="A36" s="419"/>
      <c r="B36" s="443" t="s">
        <v>130</v>
      </c>
      <c r="C36" s="444"/>
      <c r="D36" s="444"/>
      <c r="E36" s="444"/>
    </row>
    <row r="37" spans="1:5" ht="15.75" customHeight="1" x14ac:dyDescent="0.25">
      <c r="A37" s="418"/>
      <c r="B37" s="418"/>
      <c r="C37" s="418"/>
      <c r="D37" s="418"/>
      <c r="E37" s="418"/>
    </row>
    <row r="38" spans="1:5" ht="16.5" customHeight="1" x14ac:dyDescent="0.3">
      <c r="A38" s="414" t="s">
        <v>0</v>
      </c>
      <c r="B38" s="415" t="s">
        <v>131</v>
      </c>
    </row>
    <row r="39" spans="1:5" ht="16.5" customHeight="1" x14ac:dyDescent="0.3">
      <c r="A39" s="419" t="s">
        <v>1</v>
      </c>
      <c r="B39" s="420" t="s">
        <v>105</v>
      </c>
      <c r="C39" s="418"/>
      <c r="D39" s="418"/>
      <c r="E39" s="418"/>
    </row>
    <row r="40" spans="1:5" ht="16.5" customHeight="1" x14ac:dyDescent="0.3">
      <c r="A40" s="419" t="s">
        <v>2</v>
      </c>
      <c r="B40" s="420">
        <v>100.4</v>
      </c>
      <c r="C40" s="418"/>
      <c r="D40" s="418"/>
      <c r="E40" s="418"/>
    </row>
    <row r="41" spans="1:5" ht="16.5" customHeight="1" x14ac:dyDescent="0.3">
      <c r="A41" s="416" t="s">
        <v>118</v>
      </c>
      <c r="B41" s="420">
        <v>20.59</v>
      </c>
      <c r="C41" s="418"/>
      <c r="D41" s="418"/>
      <c r="E41" s="418"/>
    </row>
    <row r="42" spans="1:5" ht="16.5" customHeight="1" x14ac:dyDescent="0.3">
      <c r="A42" s="416" t="s">
        <v>119</v>
      </c>
      <c r="B42" s="421">
        <v>0.33</v>
      </c>
      <c r="C42" s="418"/>
      <c r="D42" s="418"/>
      <c r="E42" s="418"/>
    </row>
    <row r="43" spans="1:5" ht="15.75" customHeight="1" x14ac:dyDescent="0.25">
      <c r="A43" s="418"/>
      <c r="B43" s="418"/>
      <c r="C43" s="418"/>
      <c r="D43" s="418"/>
      <c r="E43" s="418"/>
    </row>
    <row r="44" spans="1:5" ht="16.5" customHeight="1" x14ac:dyDescent="0.3">
      <c r="A44" s="422" t="s">
        <v>120</v>
      </c>
      <c r="B44" s="423" t="s">
        <v>121</v>
      </c>
      <c r="C44" s="422" t="s">
        <v>122</v>
      </c>
      <c r="D44" s="422" t="s">
        <v>123</v>
      </c>
      <c r="E44" s="422" t="s">
        <v>124</v>
      </c>
    </row>
    <row r="45" spans="1:5" ht="16.5" customHeight="1" x14ac:dyDescent="0.3">
      <c r="A45" s="424">
        <v>1</v>
      </c>
      <c r="B45" s="425">
        <v>189121539</v>
      </c>
      <c r="C45" s="425">
        <v>3668.96</v>
      </c>
      <c r="D45" s="426">
        <v>1.4</v>
      </c>
      <c r="E45" s="427">
        <v>2.99</v>
      </c>
    </row>
    <row r="46" spans="1:5" ht="16.5" customHeight="1" x14ac:dyDescent="0.3">
      <c r="A46" s="424">
        <v>2</v>
      </c>
      <c r="B46" s="425">
        <v>189072227</v>
      </c>
      <c r="C46" s="425">
        <v>3670.83</v>
      </c>
      <c r="D46" s="426">
        <v>1.4</v>
      </c>
      <c r="E46" s="426">
        <v>2.99</v>
      </c>
    </row>
    <row r="47" spans="1:5" ht="16.5" customHeight="1" x14ac:dyDescent="0.3">
      <c r="A47" s="424">
        <v>3</v>
      </c>
      <c r="B47" s="425">
        <v>189292506</v>
      </c>
      <c r="C47" s="425">
        <v>3665.92</v>
      </c>
      <c r="D47" s="426">
        <v>1.43</v>
      </c>
      <c r="E47" s="426">
        <v>2.99</v>
      </c>
    </row>
    <row r="48" spans="1:5" ht="16.5" customHeight="1" x14ac:dyDescent="0.3">
      <c r="A48" s="424">
        <v>4</v>
      </c>
      <c r="B48" s="425">
        <v>189331486</v>
      </c>
      <c r="C48" s="425">
        <v>3674.35</v>
      </c>
      <c r="D48" s="426">
        <v>1.38</v>
      </c>
      <c r="E48" s="426">
        <v>2.99</v>
      </c>
    </row>
    <row r="49" spans="1:7" ht="16.5" customHeight="1" x14ac:dyDescent="0.3">
      <c r="A49" s="424">
        <v>5</v>
      </c>
      <c r="B49" s="425">
        <v>189639451</v>
      </c>
      <c r="C49" s="425">
        <v>3656.48</v>
      </c>
      <c r="D49" s="426">
        <v>1.42</v>
      </c>
      <c r="E49" s="426">
        <v>2.99</v>
      </c>
    </row>
    <row r="50" spans="1:7" ht="16.5" customHeight="1" x14ac:dyDescent="0.3">
      <c r="A50" s="424">
        <v>6</v>
      </c>
      <c r="B50" s="428">
        <v>189157722</v>
      </c>
      <c r="C50" s="428">
        <v>3686.98</v>
      </c>
      <c r="D50" s="429">
        <v>1.4</v>
      </c>
      <c r="E50" s="429">
        <v>2.99</v>
      </c>
    </row>
    <row r="51" spans="1:7" ht="16.5" customHeight="1" x14ac:dyDescent="0.3">
      <c r="A51" s="430" t="s">
        <v>125</v>
      </c>
      <c r="B51" s="431">
        <f>AVERAGE(B45:B50)</f>
        <v>189269155.16666666</v>
      </c>
      <c r="C51" s="432">
        <f>AVERAGE(C45:C50)</f>
        <v>3670.5866666666666</v>
      </c>
      <c r="D51" s="433">
        <f>AVERAGE(D45:D50)</f>
        <v>1.405</v>
      </c>
      <c r="E51" s="433">
        <f>AVERAGE(E45:E50)</f>
        <v>2.99</v>
      </c>
    </row>
    <row r="52" spans="1:7" ht="16.5" customHeight="1" x14ac:dyDescent="0.3">
      <c r="A52" s="434" t="s">
        <v>126</v>
      </c>
      <c r="B52" s="435">
        <f>(STDEV(B45:B50)/B51)</f>
        <v>1.0944281431941201E-3</v>
      </c>
      <c r="C52" s="436"/>
      <c r="D52" s="436"/>
      <c r="E52" s="437"/>
    </row>
    <row r="53" spans="1:7" s="412" customFormat="1" ht="16.5" customHeight="1" x14ac:dyDescent="0.3">
      <c r="A53" s="438" t="s">
        <v>3</v>
      </c>
      <c r="B53" s="439">
        <f>COUNT(B45:B50)</f>
        <v>6</v>
      </c>
      <c r="C53" s="440"/>
      <c r="D53" s="441"/>
      <c r="E53" s="442"/>
    </row>
    <row r="54" spans="1:7" s="412" customFormat="1" ht="15.75" customHeight="1" x14ac:dyDescent="0.25">
      <c r="A54" s="418"/>
      <c r="B54" s="418"/>
      <c r="C54" s="418"/>
      <c r="D54" s="418"/>
      <c r="E54" s="418"/>
    </row>
    <row r="55" spans="1:7" s="412" customFormat="1" ht="16.5" customHeight="1" x14ac:dyDescent="0.3">
      <c r="A55" s="419" t="s">
        <v>127</v>
      </c>
      <c r="B55" s="443" t="s">
        <v>128</v>
      </c>
      <c r="C55" s="444"/>
      <c r="D55" s="444"/>
      <c r="E55" s="444"/>
    </row>
    <row r="56" spans="1:7" ht="16.5" customHeight="1" x14ac:dyDescent="0.3">
      <c r="A56" s="419"/>
      <c r="B56" s="443" t="s">
        <v>129</v>
      </c>
      <c r="C56" s="444"/>
      <c r="D56" s="444"/>
      <c r="E56" s="444"/>
    </row>
    <row r="57" spans="1:7" ht="16.5" customHeight="1" x14ac:dyDescent="0.3">
      <c r="A57" s="419"/>
      <c r="B57" s="443" t="s">
        <v>130</v>
      </c>
      <c r="C57" s="444"/>
      <c r="D57" s="444"/>
      <c r="E57" s="444"/>
    </row>
    <row r="58" spans="1:7" ht="14.25" customHeight="1" thickBot="1" x14ac:dyDescent="0.3">
      <c r="A58" s="445"/>
      <c r="B58" s="446"/>
      <c r="D58" s="447"/>
      <c r="F58" s="448"/>
      <c r="G58" s="448"/>
    </row>
    <row r="59" spans="1:7" ht="15" customHeight="1" x14ac:dyDescent="0.3">
      <c r="B59" s="458" t="s">
        <v>4</v>
      </c>
      <c r="C59" s="458"/>
      <c r="E59" s="449" t="s">
        <v>5</v>
      </c>
      <c r="F59" s="450"/>
      <c r="G59" s="449" t="s">
        <v>6</v>
      </c>
    </row>
    <row r="60" spans="1:7" ht="15" customHeight="1" x14ac:dyDescent="0.3">
      <c r="A60" s="451" t="s">
        <v>7</v>
      </c>
      <c r="B60" s="452"/>
      <c r="C60" s="452"/>
      <c r="E60" s="452"/>
      <c r="G60" s="452"/>
    </row>
    <row r="61" spans="1:7" ht="15" customHeight="1" x14ac:dyDescent="0.3">
      <c r="A61" s="451" t="s">
        <v>8</v>
      </c>
      <c r="B61" s="453"/>
      <c r="C61" s="453"/>
      <c r="E61" s="453"/>
      <c r="G61" s="45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C19" sqref="C19"/>
    </sheetView>
  </sheetViews>
  <sheetFormatPr defaultRowHeight="13.5" x14ac:dyDescent="0.25"/>
  <cols>
    <col min="1" max="1" width="27.5703125" style="507" customWidth="1"/>
    <col min="2" max="2" width="20.42578125" style="507" customWidth="1"/>
    <col min="3" max="3" width="31.85546875" style="507" customWidth="1"/>
    <col min="4" max="4" width="25.85546875" style="507" customWidth="1"/>
    <col min="5" max="5" width="25.7109375" style="507" customWidth="1"/>
    <col min="6" max="6" width="23.140625" style="507" customWidth="1"/>
    <col min="7" max="7" width="28.42578125" style="507" customWidth="1"/>
    <col min="8" max="8" width="21.5703125" style="507" customWidth="1"/>
    <col min="9" max="9" width="9.140625" style="507" customWidth="1"/>
    <col min="10" max="16384" width="9.140625" style="545"/>
  </cols>
  <sheetData>
    <row r="14" spans="1:6" ht="15" customHeight="1" x14ac:dyDescent="0.3">
      <c r="A14" s="506"/>
      <c r="C14" s="508"/>
      <c r="F14" s="508"/>
    </row>
    <row r="15" spans="1:6" ht="18.75" customHeight="1" x14ac:dyDescent="0.3">
      <c r="A15" s="509" t="s">
        <v>115</v>
      </c>
      <c r="B15" s="509"/>
      <c r="C15" s="509"/>
      <c r="D15" s="509"/>
      <c r="E15" s="509"/>
    </row>
    <row r="16" spans="1:6" ht="16.5" customHeight="1" x14ac:dyDescent="0.3">
      <c r="A16" s="510" t="s">
        <v>0</v>
      </c>
      <c r="B16" s="511" t="s">
        <v>116</v>
      </c>
    </row>
    <row r="17" spans="1:6" ht="16.5" customHeight="1" x14ac:dyDescent="0.3">
      <c r="A17" s="512" t="s">
        <v>117</v>
      </c>
      <c r="B17" s="512" t="s">
        <v>111</v>
      </c>
      <c r="D17" s="513"/>
      <c r="E17" s="514"/>
    </row>
    <row r="18" spans="1:6" ht="16.5" customHeight="1" x14ac:dyDescent="0.3">
      <c r="A18" s="515" t="s">
        <v>1</v>
      </c>
      <c r="B18" s="516" t="s">
        <v>107</v>
      </c>
      <c r="C18" s="514"/>
      <c r="D18" s="514"/>
      <c r="E18" s="514"/>
    </row>
    <row r="19" spans="1:6" ht="16.5" customHeight="1" x14ac:dyDescent="0.3">
      <c r="A19" s="515" t="s">
        <v>2</v>
      </c>
      <c r="B19" s="517">
        <v>98.8</v>
      </c>
      <c r="C19" s="514"/>
      <c r="D19" s="514"/>
      <c r="E19" s="514"/>
    </row>
    <row r="20" spans="1:6" ht="16.5" customHeight="1" x14ac:dyDescent="0.3">
      <c r="A20" s="512" t="s">
        <v>118</v>
      </c>
      <c r="B20" s="517">
        <v>21.22</v>
      </c>
      <c r="C20" s="514"/>
      <c r="D20" s="514"/>
      <c r="E20" s="514"/>
    </row>
    <row r="21" spans="1:6" ht="16.5" customHeight="1" x14ac:dyDescent="0.3">
      <c r="A21" s="512" t="s">
        <v>119</v>
      </c>
      <c r="B21" s="518">
        <v>0.1</v>
      </c>
      <c r="C21" s="514"/>
      <c r="D21" s="514"/>
      <c r="E21" s="514"/>
    </row>
    <row r="22" spans="1:6" ht="15.75" customHeight="1" x14ac:dyDescent="0.25">
      <c r="A22" s="514"/>
      <c r="B22" s="514"/>
      <c r="C22" s="514"/>
      <c r="D22" s="514"/>
      <c r="E22" s="514"/>
    </row>
    <row r="23" spans="1:6" ht="16.5" customHeight="1" x14ac:dyDescent="0.3">
      <c r="A23" s="519" t="s">
        <v>120</v>
      </c>
      <c r="B23" s="520" t="s">
        <v>121</v>
      </c>
      <c r="C23" s="519" t="s">
        <v>122</v>
      </c>
      <c r="D23" s="519" t="s">
        <v>123</v>
      </c>
      <c r="E23" s="519" t="s">
        <v>124</v>
      </c>
      <c r="F23" s="519" t="s">
        <v>134</v>
      </c>
    </row>
    <row r="24" spans="1:6" ht="16.5" customHeight="1" x14ac:dyDescent="0.3">
      <c r="A24" s="521">
        <v>1</v>
      </c>
      <c r="B24" s="522">
        <v>57033835</v>
      </c>
      <c r="C24" s="522">
        <v>9850.69</v>
      </c>
      <c r="D24" s="523">
        <v>1.21</v>
      </c>
      <c r="E24" s="524">
        <v>5.26</v>
      </c>
      <c r="F24" s="524">
        <v>12.69</v>
      </c>
    </row>
    <row r="25" spans="1:6" ht="16.5" customHeight="1" x14ac:dyDescent="0.3">
      <c r="A25" s="521">
        <v>2</v>
      </c>
      <c r="B25" s="522">
        <v>57280150</v>
      </c>
      <c r="C25" s="522">
        <v>9583.6</v>
      </c>
      <c r="D25" s="523">
        <v>1.22</v>
      </c>
      <c r="E25" s="523">
        <v>5.25</v>
      </c>
      <c r="F25" s="523">
        <v>12.67</v>
      </c>
    </row>
    <row r="26" spans="1:6" ht="16.5" customHeight="1" x14ac:dyDescent="0.3">
      <c r="A26" s="521">
        <v>3</v>
      </c>
      <c r="B26" s="522">
        <v>57183938</v>
      </c>
      <c r="C26" s="522">
        <v>9554.5400000000009</v>
      </c>
      <c r="D26" s="523">
        <v>1.2</v>
      </c>
      <c r="E26" s="523">
        <v>5.25</v>
      </c>
      <c r="F26" s="523">
        <v>12.65</v>
      </c>
    </row>
    <row r="27" spans="1:6" ht="16.5" customHeight="1" x14ac:dyDescent="0.3">
      <c r="A27" s="521">
        <v>4</v>
      </c>
      <c r="B27" s="522">
        <v>57141384</v>
      </c>
      <c r="C27" s="522">
        <v>9557.98</v>
      </c>
      <c r="D27" s="523">
        <v>1.19</v>
      </c>
      <c r="E27" s="523">
        <v>5.25</v>
      </c>
      <c r="F27" s="523">
        <v>12.65</v>
      </c>
    </row>
    <row r="28" spans="1:6" ht="16.5" customHeight="1" x14ac:dyDescent="0.3">
      <c r="A28" s="521">
        <v>5</v>
      </c>
      <c r="B28" s="525">
        <v>57262716</v>
      </c>
      <c r="C28" s="522">
        <v>9507.27</v>
      </c>
      <c r="D28" s="523">
        <v>1.19</v>
      </c>
      <c r="E28" s="523">
        <v>5.25</v>
      </c>
      <c r="F28" s="523">
        <v>12.61</v>
      </c>
    </row>
    <row r="29" spans="1:6" ht="16.5" customHeight="1" x14ac:dyDescent="0.3">
      <c r="A29" s="521">
        <v>6</v>
      </c>
      <c r="B29" s="525">
        <v>57172787</v>
      </c>
      <c r="C29" s="525">
        <v>9541.48</v>
      </c>
      <c r="D29" s="526">
        <v>1.21</v>
      </c>
      <c r="E29" s="526">
        <v>5.25</v>
      </c>
      <c r="F29" s="526">
        <v>12.63</v>
      </c>
    </row>
    <row r="30" spans="1:6" ht="16.5" customHeight="1" x14ac:dyDescent="0.3">
      <c r="A30" s="527" t="s">
        <v>125</v>
      </c>
      <c r="B30" s="528">
        <f>AVERAGE(B24:B29)</f>
        <v>57179135</v>
      </c>
      <c r="C30" s="529">
        <f>AVERAGE(C24:C29)</f>
        <v>9599.26</v>
      </c>
      <c r="D30" s="530">
        <f>AVERAGE(D24:D29)</f>
        <v>1.2033333333333334</v>
      </c>
      <c r="E30" s="530">
        <f>AVERAGE(E24:E29)</f>
        <v>5.251666666666666</v>
      </c>
      <c r="F30" s="530">
        <f>AVERAGE(F24:F29)</f>
        <v>12.649999999999999</v>
      </c>
    </row>
    <row r="31" spans="1:6" ht="16.5" customHeight="1" x14ac:dyDescent="0.3">
      <c r="A31" s="531" t="s">
        <v>126</v>
      </c>
      <c r="B31" s="532">
        <f>(STDEV(B24:B28)/B30)</f>
        <v>1.7432415243976752E-3</v>
      </c>
      <c r="C31" s="533"/>
      <c r="D31" s="533"/>
      <c r="E31" s="534"/>
      <c r="F31" s="534"/>
    </row>
    <row r="32" spans="1:6" s="507" customFormat="1" ht="16.5" customHeight="1" x14ac:dyDescent="0.3">
      <c r="A32" s="535" t="s">
        <v>3</v>
      </c>
      <c r="B32" s="536">
        <f>COUNT(B24:B28)</f>
        <v>5</v>
      </c>
      <c r="C32" s="537"/>
      <c r="D32" s="538"/>
      <c r="E32" s="539"/>
      <c r="F32" s="539"/>
    </row>
    <row r="33" spans="1:6" s="507" customFormat="1" ht="15.75" customHeight="1" x14ac:dyDescent="0.25">
      <c r="A33" s="514"/>
      <c r="B33" s="514"/>
      <c r="C33" s="514"/>
      <c r="D33" s="514"/>
      <c r="E33" s="514"/>
    </row>
    <row r="34" spans="1:6" s="507" customFormat="1" ht="16.5" customHeight="1" x14ac:dyDescent="0.3">
      <c r="A34" s="515" t="s">
        <v>127</v>
      </c>
      <c r="B34" s="540" t="s">
        <v>132</v>
      </c>
      <c r="C34" s="541"/>
      <c r="D34" s="541"/>
      <c r="E34" s="541"/>
    </row>
    <row r="35" spans="1:6" ht="16.5" customHeight="1" x14ac:dyDescent="0.3">
      <c r="A35" s="515"/>
      <c r="B35" s="540" t="s">
        <v>129</v>
      </c>
      <c r="C35" s="541"/>
      <c r="D35" s="541"/>
      <c r="E35" s="541"/>
    </row>
    <row r="36" spans="1:6" ht="16.5" customHeight="1" x14ac:dyDescent="0.3">
      <c r="A36" s="515"/>
      <c r="B36" s="540" t="s">
        <v>130</v>
      </c>
      <c r="C36" s="541"/>
      <c r="D36" s="541"/>
      <c r="E36" s="541"/>
    </row>
    <row r="37" spans="1:6" ht="15.75" customHeight="1" x14ac:dyDescent="0.25">
      <c r="A37" s="514"/>
      <c r="B37" s="514"/>
      <c r="C37" s="514"/>
      <c r="D37" s="514"/>
      <c r="E37" s="514"/>
    </row>
    <row r="38" spans="1:6" ht="16.5" customHeight="1" x14ac:dyDescent="0.3">
      <c r="A38" s="510" t="s">
        <v>0</v>
      </c>
      <c r="B38" s="511" t="s">
        <v>131</v>
      </c>
    </row>
    <row r="39" spans="1:6" ht="16.5" customHeight="1" x14ac:dyDescent="0.3">
      <c r="A39" s="515" t="s">
        <v>1</v>
      </c>
      <c r="B39" s="512" t="s">
        <v>133</v>
      </c>
      <c r="C39" s="514"/>
      <c r="D39" s="514"/>
      <c r="E39" s="514"/>
    </row>
    <row r="40" spans="1:6" ht="16.5" customHeight="1" x14ac:dyDescent="0.3">
      <c r="A40" s="515" t="s">
        <v>2</v>
      </c>
      <c r="B40" s="517">
        <v>98.8</v>
      </c>
      <c r="C40" s="514"/>
      <c r="D40" s="514"/>
      <c r="E40" s="514"/>
    </row>
    <row r="41" spans="1:6" ht="16.5" customHeight="1" x14ac:dyDescent="0.3">
      <c r="A41" s="512" t="s">
        <v>118</v>
      </c>
      <c r="B41" s="517">
        <v>21.22</v>
      </c>
      <c r="C41" s="514"/>
      <c r="D41" s="514"/>
      <c r="E41" s="514"/>
    </row>
    <row r="42" spans="1:6" ht="16.5" customHeight="1" x14ac:dyDescent="0.3">
      <c r="A42" s="512" t="s">
        <v>119</v>
      </c>
      <c r="B42" s="518">
        <v>0.33300000000000002</v>
      </c>
      <c r="C42" s="514"/>
      <c r="D42" s="514"/>
      <c r="E42" s="514"/>
    </row>
    <row r="43" spans="1:6" ht="15.75" customHeight="1" x14ac:dyDescent="0.25">
      <c r="A43" s="514"/>
      <c r="B43" s="514"/>
      <c r="C43" s="514"/>
      <c r="D43" s="514"/>
      <c r="E43" s="514"/>
    </row>
    <row r="44" spans="1:6" ht="16.5" customHeight="1" x14ac:dyDescent="0.3">
      <c r="A44" s="519" t="s">
        <v>120</v>
      </c>
      <c r="B44" s="520" t="s">
        <v>121</v>
      </c>
      <c r="C44" s="519" t="s">
        <v>122</v>
      </c>
      <c r="D44" s="519" t="s">
        <v>123</v>
      </c>
      <c r="E44" s="519" t="s">
        <v>124</v>
      </c>
      <c r="F44" s="519" t="s">
        <v>134</v>
      </c>
    </row>
    <row r="45" spans="1:6" ht="16.5" customHeight="1" x14ac:dyDescent="0.3">
      <c r="A45" s="521">
        <v>1</v>
      </c>
      <c r="B45" s="522">
        <v>187662528</v>
      </c>
      <c r="C45" s="522">
        <v>6905.43</v>
      </c>
      <c r="D45" s="523">
        <v>1.32</v>
      </c>
      <c r="E45" s="524">
        <v>5.24</v>
      </c>
      <c r="F45" s="524">
        <v>9.99</v>
      </c>
    </row>
    <row r="46" spans="1:6" ht="16.5" customHeight="1" x14ac:dyDescent="0.3">
      <c r="A46" s="521">
        <v>2</v>
      </c>
      <c r="B46" s="522">
        <v>187616077</v>
      </c>
      <c r="C46" s="522">
        <v>6906.15</v>
      </c>
      <c r="D46" s="523">
        <v>1.33</v>
      </c>
      <c r="E46" s="523">
        <v>5.24</v>
      </c>
      <c r="F46" s="523">
        <v>9.99</v>
      </c>
    </row>
    <row r="47" spans="1:6" ht="16.5" customHeight="1" x14ac:dyDescent="0.3">
      <c r="A47" s="521">
        <v>3</v>
      </c>
      <c r="B47" s="522">
        <v>187590542</v>
      </c>
      <c r="C47" s="522">
        <v>6932.44</v>
      </c>
      <c r="D47" s="523">
        <v>1.3</v>
      </c>
      <c r="E47" s="523">
        <v>5.25</v>
      </c>
      <c r="F47" s="523">
        <v>10.01</v>
      </c>
    </row>
    <row r="48" spans="1:6" ht="16.5" customHeight="1" x14ac:dyDescent="0.3">
      <c r="A48" s="521">
        <v>4</v>
      </c>
      <c r="B48" s="522">
        <v>187637618</v>
      </c>
      <c r="C48" s="522">
        <v>6900.86</v>
      </c>
      <c r="D48" s="523">
        <v>1.32</v>
      </c>
      <c r="E48" s="523">
        <v>5.24</v>
      </c>
      <c r="F48" s="523">
        <v>9.99</v>
      </c>
    </row>
    <row r="49" spans="1:7" ht="16.5" customHeight="1" x14ac:dyDescent="0.3">
      <c r="A49" s="521">
        <v>5</v>
      </c>
      <c r="B49" s="522">
        <v>187610848</v>
      </c>
      <c r="C49" s="522">
        <v>6944.85</v>
      </c>
      <c r="D49" s="523">
        <v>1.29</v>
      </c>
      <c r="E49" s="523">
        <v>5.25</v>
      </c>
      <c r="F49" s="523">
        <v>10.01</v>
      </c>
    </row>
    <row r="50" spans="1:7" ht="16.5" customHeight="1" x14ac:dyDescent="0.3">
      <c r="A50" s="521">
        <v>6</v>
      </c>
      <c r="B50" s="525">
        <v>187437895</v>
      </c>
      <c r="C50" s="525">
        <v>6929.26</v>
      </c>
      <c r="D50" s="526">
        <v>1.32</v>
      </c>
      <c r="E50" s="526">
        <v>5.24</v>
      </c>
      <c r="F50" s="526">
        <v>10.01</v>
      </c>
    </row>
    <row r="51" spans="1:7" ht="16.5" customHeight="1" x14ac:dyDescent="0.3">
      <c r="A51" s="527" t="s">
        <v>125</v>
      </c>
      <c r="B51" s="528">
        <f>AVERAGE(B45:B50)</f>
        <v>187592584.66666666</v>
      </c>
      <c r="C51" s="529">
        <f>AVERAGE(C45:C50)</f>
        <v>6919.8316666666678</v>
      </c>
      <c r="D51" s="530">
        <f>AVERAGE(D45:D50)</f>
        <v>1.3133333333333335</v>
      </c>
      <c r="E51" s="530">
        <f>AVERAGE(E45:E50)</f>
        <v>5.2433333333333332</v>
      </c>
      <c r="F51" s="530">
        <f>AVERAGE(F45:F50)</f>
        <v>10</v>
      </c>
    </row>
    <row r="52" spans="1:7" ht="16.5" customHeight="1" x14ac:dyDescent="0.3">
      <c r="A52" s="531" t="s">
        <v>126</v>
      </c>
      <c r="B52" s="532">
        <f>(STDEV(B45:B50)/B51)</f>
        <v>4.247105470121493E-4</v>
      </c>
      <c r="C52" s="533"/>
      <c r="D52" s="533"/>
      <c r="E52" s="534"/>
      <c r="F52" s="534"/>
    </row>
    <row r="53" spans="1:7" s="507" customFormat="1" ht="16.5" customHeight="1" x14ac:dyDescent="0.3">
      <c r="A53" s="535" t="s">
        <v>3</v>
      </c>
      <c r="B53" s="536">
        <f>COUNT(B45:B50)</f>
        <v>6</v>
      </c>
      <c r="C53" s="537"/>
      <c r="D53" s="538"/>
      <c r="E53" s="539"/>
      <c r="F53" s="539"/>
    </row>
    <row r="54" spans="1:7" s="507" customFormat="1" ht="15.75" customHeight="1" x14ac:dyDescent="0.25">
      <c r="A54" s="514"/>
      <c r="B54" s="514"/>
      <c r="C54" s="514"/>
      <c r="D54" s="514"/>
      <c r="E54" s="514"/>
    </row>
    <row r="55" spans="1:7" s="507" customFormat="1" ht="16.5" customHeight="1" x14ac:dyDescent="0.3">
      <c r="A55" s="515" t="s">
        <v>127</v>
      </c>
      <c r="B55" s="540" t="s">
        <v>128</v>
      </c>
      <c r="C55" s="541"/>
      <c r="D55" s="541"/>
      <c r="E55" s="541"/>
    </row>
    <row r="56" spans="1:7" ht="16.5" customHeight="1" x14ac:dyDescent="0.3">
      <c r="A56" s="515"/>
      <c r="B56" s="540" t="s">
        <v>129</v>
      </c>
      <c r="C56" s="541"/>
      <c r="D56" s="541"/>
      <c r="E56" s="541"/>
    </row>
    <row r="57" spans="1:7" ht="16.5" customHeight="1" x14ac:dyDescent="0.3">
      <c r="A57" s="515"/>
      <c r="B57" s="540" t="s">
        <v>130</v>
      </c>
      <c r="C57" s="541"/>
      <c r="D57" s="541"/>
      <c r="E57" s="541"/>
    </row>
    <row r="58" spans="1:7" ht="14.25" customHeight="1" thickBot="1" x14ac:dyDescent="0.3">
      <c r="A58" s="542"/>
      <c r="B58" s="543"/>
      <c r="D58" s="544"/>
      <c r="F58" s="545"/>
      <c r="G58" s="545"/>
    </row>
    <row r="59" spans="1:7" ht="15" customHeight="1" x14ac:dyDescent="0.3">
      <c r="B59" s="546" t="s">
        <v>4</v>
      </c>
      <c r="C59" s="546"/>
      <c r="E59" s="547" t="s">
        <v>5</v>
      </c>
      <c r="F59" s="548"/>
      <c r="G59" s="547" t="s">
        <v>6</v>
      </c>
    </row>
    <row r="60" spans="1:7" ht="15" customHeight="1" x14ac:dyDescent="0.3">
      <c r="A60" s="549" t="s">
        <v>7</v>
      </c>
      <c r="B60" s="550"/>
      <c r="C60" s="550"/>
      <c r="E60" s="550"/>
      <c r="G60" s="550"/>
    </row>
    <row r="61" spans="1:7" ht="15" customHeight="1" x14ac:dyDescent="0.3">
      <c r="A61" s="549" t="s">
        <v>8</v>
      </c>
      <c r="B61" s="551"/>
      <c r="C61" s="551"/>
      <c r="E61" s="551"/>
      <c r="G61" s="5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D43" sqref="D43"/>
    </sheetView>
  </sheetViews>
  <sheetFormatPr defaultRowHeight="15" x14ac:dyDescent="0.3"/>
  <cols>
    <col min="1" max="1" width="15.5703125" style="367" customWidth="1"/>
    <col min="2" max="2" width="18.42578125" style="367" customWidth="1"/>
    <col min="3" max="3" width="14.28515625" style="367" customWidth="1"/>
    <col min="4" max="4" width="15" style="367" customWidth="1"/>
    <col min="5" max="5" width="9.140625" style="367" customWidth="1"/>
    <col min="6" max="6" width="27.85546875" style="367" customWidth="1"/>
    <col min="7" max="7" width="12.28515625" style="367" customWidth="1"/>
    <col min="8" max="8" width="9.140625" style="367" customWidth="1"/>
    <col min="9" max="16384" width="9.140625" style="410"/>
  </cols>
  <sheetData>
    <row r="10" spans="1:7" ht="13.5" customHeight="1" thickBot="1" x14ac:dyDescent="0.35"/>
    <row r="11" spans="1:7" ht="13.5" customHeight="1" thickBot="1" x14ac:dyDescent="0.35">
      <c r="A11" s="461" t="s">
        <v>9</v>
      </c>
      <c r="B11" s="462"/>
      <c r="C11" s="462"/>
      <c r="D11" s="462"/>
      <c r="E11" s="462"/>
      <c r="F11" s="463"/>
      <c r="G11" s="368"/>
    </row>
    <row r="12" spans="1:7" ht="16.5" customHeight="1" x14ac:dyDescent="0.3">
      <c r="A12" s="464" t="s">
        <v>10</v>
      </c>
      <c r="B12" s="464"/>
      <c r="C12" s="464"/>
      <c r="D12" s="464"/>
      <c r="E12" s="464"/>
      <c r="F12" s="464"/>
      <c r="G12" s="369"/>
    </row>
    <row r="14" spans="1:7" ht="16.5" customHeight="1" x14ac:dyDescent="0.3">
      <c r="A14" s="465" t="s">
        <v>11</v>
      </c>
      <c r="B14" s="465"/>
      <c r="C14" s="370" t="s">
        <v>110</v>
      </c>
    </row>
    <row r="15" spans="1:7" ht="16.5" customHeight="1" x14ac:dyDescent="0.3">
      <c r="A15" s="465" t="s">
        <v>12</v>
      </c>
      <c r="B15" s="465"/>
      <c r="C15" s="370" t="s">
        <v>111</v>
      </c>
    </row>
    <row r="16" spans="1:7" ht="16.5" customHeight="1" x14ac:dyDescent="0.3">
      <c r="A16" s="465" t="s">
        <v>13</v>
      </c>
      <c r="B16" s="465"/>
      <c r="C16" s="370" t="s">
        <v>112</v>
      </c>
    </row>
    <row r="17" spans="1:5" ht="16.5" customHeight="1" x14ac:dyDescent="0.3">
      <c r="A17" s="465" t="s">
        <v>14</v>
      </c>
      <c r="B17" s="465"/>
      <c r="C17" s="370" t="s">
        <v>113</v>
      </c>
    </row>
    <row r="18" spans="1:5" ht="16.5" customHeight="1" x14ac:dyDescent="0.3">
      <c r="A18" s="465" t="s">
        <v>15</v>
      </c>
      <c r="B18" s="465"/>
      <c r="C18" s="371" t="s">
        <v>114</v>
      </c>
    </row>
    <row r="19" spans="1:5" ht="16.5" customHeight="1" x14ac:dyDescent="0.3">
      <c r="A19" s="465" t="s">
        <v>16</v>
      </c>
      <c r="B19" s="465"/>
      <c r="C19" s="371" t="e">
        <f>#REF!</f>
        <v>#REF!</v>
      </c>
    </row>
    <row r="20" spans="1:5" ht="16.5" customHeight="1" x14ac:dyDescent="0.3">
      <c r="A20" s="372"/>
      <c r="B20" s="372"/>
      <c r="C20" s="373"/>
    </row>
    <row r="21" spans="1:5" ht="16.5" customHeight="1" x14ac:dyDescent="0.3">
      <c r="A21" s="464" t="s">
        <v>0</v>
      </c>
      <c r="B21" s="464"/>
      <c r="C21" s="374" t="s">
        <v>17</v>
      </c>
      <c r="D21" s="375"/>
    </row>
    <row r="22" spans="1:5" ht="15.75" customHeight="1" thickBot="1" x14ac:dyDescent="0.35">
      <c r="A22" s="466"/>
      <c r="B22" s="466"/>
      <c r="C22" s="376"/>
      <c r="D22" s="466"/>
      <c r="E22" s="466"/>
    </row>
    <row r="23" spans="1:5" ht="33.75" customHeight="1" thickBot="1" x14ac:dyDescent="0.35">
      <c r="C23" s="377" t="s">
        <v>18</v>
      </c>
      <c r="D23" s="378" t="s">
        <v>19</v>
      </c>
      <c r="E23" s="379"/>
    </row>
    <row r="24" spans="1:5" ht="15.75" customHeight="1" x14ac:dyDescent="0.3">
      <c r="C24" s="380">
        <v>1047.32</v>
      </c>
      <c r="D24" s="381">
        <f t="shared" ref="D24:D43" si="0">(C24-$C$46)/$C$46</f>
        <v>-5.4082800339975562E-3</v>
      </c>
      <c r="E24" s="382"/>
    </row>
    <row r="25" spans="1:5" ht="15.75" customHeight="1" x14ac:dyDescent="0.3">
      <c r="C25" s="380">
        <v>1046.6500000000001</v>
      </c>
      <c r="D25" s="383">
        <f t="shared" si="0"/>
        <v>-6.0445482732912467E-3</v>
      </c>
      <c r="E25" s="382"/>
    </row>
    <row r="26" spans="1:5" ht="15.75" customHeight="1" x14ac:dyDescent="0.3">
      <c r="C26" s="380">
        <v>1046.96</v>
      </c>
      <c r="D26" s="383">
        <f t="shared" si="0"/>
        <v>-5.7501555058568372E-3</v>
      </c>
      <c r="E26" s="382"/>
    </row>
    <row r="27" spans="1:5" ht="15.75" customHeight="1" x14ac:dyDescent="0.3">
      <c r="C27" s="380">
        <v>1050.96</v>
      </c>
      <c r="D27" s="383">
        <f t="shared" si="0"/>
        <v>-1.9515391518637782E-3</v>
      </c>
      <c r="E27" s="382"/>
    </row>
    <row r="28" spans="1:5" ht="15.75" customHeight="1" x14ac:dyDescent="0.3">
      <c r="C28" s="380">
        <v>1063.82</v>
      </c>
      <c r="D28" s="383">
        <f t="shared" si="0"/>
        <v>1.026101242622381E-2</v>
      </c>
      <c r="E28" s="382"/>
    </row>
    <row r="29" spans="1:5" ht="15.75" customHeight="1" x14ac:dyDescent="0.3">
      <c r="C29" s="380">
        <v>1054.4100000000001</v>
      </c>
      <c r="D29" s="383">
        <f t="shared" si="0"/>
        <v>1.3247674534552778E-3</v>
      </c>
      <c r="E29" s="382"/>
    </row>
    <row r="30" spans="1:5" ht="15.75" customHeight="1" x14ac:dyDescent="0.3">
      <c r="C30" s="380">
        <v>1047.1099999999999</v>
      </c>
      <c r="D30" s="383">
        <f t="shared" si="0"/>
        <v>-5.6077073925822271E-3</v>
      </c>
      <c r="E30" s="382"/>
    </row>
    <row r="31" spans="1:5" ht="15.75" customHeight="1" x14ac:dyDescent="0.3">
      <c r="C31" s="380">
        <v>1052.44</v>
      </c>
      <c r="D31" s="383">
        <f t="shared" si="0"/>
        <v>-5.4605110088632944E-4</v>
      </c>
      <c r="E31" s="382"/>
    </row>
    <row r="32" spans="1:5" ht="15.75" customHeight="1" x14ac:dyDescent="0.3">
      <c r="C32" s="380">
        <v>1046.8699999999999</v>
      </c>
      <c r="D32" s="383">
        <f t="shared" si="0"/>
        <v>-5.8356243738218192E-3</v>
      </c>
      <c r="E32" s="382"/>
    </row>
    <row r="33" spans="1:7" ht="15.75" customHeight="1" x14ac:dyDescent="0.3">
      <c r="C33" s="380">
        <v>1057.6500000000001</v>
      </c>
      <c r="D33" s="383">
        <f t="shared" si="0"/>
        <v>4.4016467001896636E-3</v>
      </c>
      <c r="E33" s="382"/>
    </row>
    <row r="34" spans="1:7" ht="15.75" customHeight="1" x14ac:dyDescent="0.3">
      <c r="C34" s="380">
        <v>1066.23</v>
      </c>
      <c r="D34" s="383">
        <f t="shared" si="0"/>
        <v>1.2549678779504705E-2</v>
      </c>
      <c r="E34" s="382"/>
    </row>
    <row r="35" spans="1:7" ht="15.75" customHeight="1" x14ac:dyDescent="0.3">
      <c r="C35" s="380">
        <v>1048.49</v>
      </c>
      <c r="D35" s="383">
        <f t="shared" si="0"/>
        <v>-4.2971847504545179E-3</v>
      </c>
      <c r="E35" s="382"/>
    </row>
    <row r="36" spans="1:7" ht="15.75" customHeight="1" x14ac:dyDescent="0.3">
      <c r="C36" s="380">
        <v>1051.93</v>
      </c>
      <c r="D36" s="383">
        <f t="shared" si="0"/>
        <v>-1.0303746860204357E-3</v>
      </c>
      <c r="E36" s="382"/>
    </row>
    <row r="37" spans="1:7" ht="15.75" customHeight="1" x14ac:dyDescent="0.3">
      <c r="C37" s="380">
        <v>1050.3900000000001</v>
      </c>
      <c r="D37" s="383">
        <f t="shared" si="0"/>
        <v>-2.4928419823077286E-3</v>
      </c>
      <c r="E37" s="382"/>
    </row>
    <row r="38" spans="1:7" ht="15.75" customHeight="1" x14ac:dyDescent="0.3">
      <c r="C38" s="380">
        <v>1059.94</v>
      </c>
      <c r="D38" s="383">
        <f t="shared" si="0"/>
        <v>6.5763545628506554E-3</v>
      </c>
      <c r="E38" s="382"/>
    </row>
    <row r="39" spans="1:7" ht="15.75" customHeight="1" x14ac:dyDescent="0.3">
      <c r="C39" s="380">
        <v>1057.1500000000001</v>
      </c>
      <c r="D39" s="383">
        <f t="shared" si="0"/>
        <v>3.9268196559405317E-3</v>
      </c>
      <c r="E39" s="382"/>
    </row>
    <row r="40" spans="1:7" ht="15.75" customHeight="1" x14ac:dyDescent="0.3">
      <c r="C40" s="380">
        <v>1059.67</v>
      </c>
      <c r="D40" s="383">
        <f t="shared" si="0"/>
        <v>6.3199479589561413E-3</v>
      </c>
      <c r="E40" s="382"/>
    </row>
    <row r="41" spans="1:7" ht="15.75" customHeight="1" x14ac:dyDescent="0.3">
      <c r="C41" s="380">
        <v>1047.06</v>
      </c>
      <c r="D41" s="383">
        <f t="shared" si="0"/>
        <v>-5.6551900970070968E-3</v>
      </c>
      <c r="E41" s="382"/>
    </row>
    <row r="42" spans="1:7" ht="15.75" customHeight="1" x14ac:dyDescent="0.3">
      <c r="C42" s="380">
        <v>1046.23</v>
      </c>
      <c r="D42" s="383">
        <f t="shared" si="0"/>
        <v>-6.4434029904605877E-3</v>
      </c>
      <c r="E42" s="382"/>
    </row>
    <row r="43" spans="1:7" ht="16.5" customHeight="1" thickBot="1" x14ac:dyDescent="0.35">
      <c r="C43" s="384">
        <v>1059.02</v>
      </c>
      <c r="D43" s="385">
        <f t="shared" si="0"/>
        <v>5.7026728014321825E-3</v>
      </c>
      <c r="E43" s="382"/>
    </row>
    <row r="44" spans="1:7" ht="16.5" customHeight="1" thickBot="1" x14ac:dyDescent="0.35">
      <c r="C44" s="386"/>
      <c r="D44" s="382"/>
      <c r="E44" s="387"/>
    </row>
    <row r="45" spans="1:7" ht="16.5" customHeight="1" thickBot="1" x14ac:dyDescent="0.35">
      <c r="B45" s="388" t="s">
        <v>20</v>
      </c>
      <c r="C45" s="389">
        <f>SUM(C24:C44)</f>
        <v>21060.3</v>
      </c>
      <c r="D45" s="390"/>
      <c r="E45" s="386"/>
    </row>
    <row r="46" spans="1:7" ht="17.25" customHeight="1" thickBot="1" x14ac:dyDescent="0.35">
      <c r="B46" s="388" t="s">
        <v>21</v>
      </c>
      <c r="C46" s="391">
        <f>AVERAGE(C24:C44)</f>
        <v>1053.0149999999999</v>
      </c>
      <c r="E46" s="392"/>
    </row>
    <row r="47" spans="1:7" ht="17.25" customHeight="1" thickBot="1" x14ac:dyDescent="0.35">
      <c r="A47" s="370"/>
      <c r="B47" s="393"/>
      <c r="D47" s="394"/>
      <c r="E47" s="392"/>
    </row>
    <row r="48" spans="1:7" ht="33.75" customHeight="1" thickBot="1" x14ac:dyDescent="0.35">
      <c r="B48" s="395" t="s">
        <v>21</v>
      </c>
      <c r="C48" s="378" t="s">
        <v>22</v>
      </c>
      <c r="D48" s="396"/>
      <c r="G48" s="394"/>
    </row>
    <row r="49" spans="1:6" ht="17.25" customHeight="1" thickBot="1" x14ac:dyDescent="0.35">
      <c r="B49" s="459">
        <f>C46</f>
        <v>1053.0149999999999</v>
      </c>
      <c r="C49" s="397">
        <f>-IF(C46&lt;=80,10%,IF(C46&lt;250,7.5%,5%))</f>
        <v>-0.05</v>
      </c>
      <c r="D49" s="398">
        <f>IF(C46&lt;=80,C46*0.9,IF(C46&lt;250,C46*0.925,C46*0.95))</f>
        <v>1000.3642499999999</v>
      </c>
    </row>
    <row r="50" spans="1:6" ht="17.25" customHeight="1" thickBot="1" x14ac:dyDescent="0.35">
      <c r="B50" s="460"/>
      <c r="C50" s="399">
        <f>IF(C46&lt;=80, 10%, IF(C46&lt;250, 7.5%, 5%))</f>
        <v>0.05</v>
      </c>
      <c r="D50" s="398">
        <f>IF(C46&lt;=80, C46*1.1, IF(C46&lt;250, C46*1.075, C46*1.05))</f>
        <v>1105.6657499999999</v>
      </c>
    </row>
    <row r="51" spans="1:6" ht="16.5" customHeight="1" thickBot="1" x14ac:dyDescent="0.35">
      <c r="A51" s="400"/>
      <c r="B51" s="401"/>
      <c r="C51" s="370"/>
      <c r="D51" s="402"/>
      <c r="E51" s="370"/>
      <c r="F51" s="375"/>
    </row>
    <row r="52" spans="1:6" ht="16.5" customHeight="1" x14ac:dyDescent="0.3">
      <c r="A52" s="370"/>
      <c r="B52" s="403" t="s">
        <v>4</v>
      </c>
      <c r="C52" s="403"/>
      <c r="D52" s="404" t="s">
        <v>5</v>
      </c>
      <c r="E52" s="405"/>
      <c r="F52" s="404" t="s">
        <v>6</v>
      </c>
    </row>
    <row r="53" spans="1:6" ht="34.5" customHeight="1" x14ac:dyDescent="0.3">
      <c r="A53" s="372" t="s">
        <v>7</v>
      </c>
      <c r="B53" s="406"/>
      <c r="C53" s="370"/>
      <c r="D53" s="406"/>
      <c r="E53" s="370"/>
      <c r="F53" s="406"/>
    </row>
    <row r="54" spans="1:6" ht="34.5" customHeight="1" x14ac:dyDescent="0.3">
      <c r="A54" s="372" t="s">
        <v>8</v>
      </c>
      <c r="B54" s="407"/>
      <c r="C54" s="408"/>
      <c r="D54" s="407"/>
      <c r="E54" s="370"/>
      <c r="F54" s="409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2" zoomScale="60" zoomScaleNormal="40" zoomScalePageLayoutView="50" workbookViewId="0">
      <selection activeCell="F68" sqref="F68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7" t="s">
        <v>23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24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x14ac:dyDescent="0.3">
      <c r="A15" s="3"/>
    </row>
    <row r="16" spans="1:9" ht="19.5" customHeight="1" x14ac:dyDescent="0.3">
      <c r="A16" s="501" t="s">
        <v>9</v>
      </c>
      <c r="B16" s="502"/>
      <c r="C16" s="502"/>
      <c r="D16" s="502"/>
      <c r="E16" s="502"/>
      <c r="F16" s="502"/>
      <c r="G16" s="502"/>
      <c r="H16" s="503"/>
    </row>
    <row r="17" spans="1:14" ht="20.25" customHeight="1" x14ac:dyDescent="0.25">
      <c r="A17" s="504" t="s">
        <v>25</v>
      </c>
      <c r="B17" s="504"/>
      <c r="C17" s="504"/>
      <c r="D17" s="504"/>
      <c r="E17" s="504"/>
      <c r="F17" s="504"/>
      <c r="G17" s="504"/>
      <c r="H17" s="504"/>
    </row>
    <row r="18" spans="1:14" ht="26.25" customHeight="1" x14ac:dyDescent="0.4">
      <c r="A18" s="5" t="s">
        <v>11</v>
      </c>
      <c r="B18" s="500" t="s">
        <v>103</v>
      </c>
      <c r="C18" s="500"/>
      <c r="D18" s="171"/>
      <c r="E18" s="6"/>
      <c r="F18" s="7"/>
      <c r="G18" s="7"/>
      <c r="H18" s="7"/>
    </row>
    <row r="19" spans="1:14" ht="26.25" customHeight="1" x14ac:dyDescent="0.4">
      <c r="A19" s="5" t="s">
        <v>12</v>
      </c>
      <c r="B19" s="456" t="s">
        <v>111</v>
      </c>
      <c r="C19" s="184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505" t="s">
        <v>104</v>
      </c>
      <c r="C20" s="505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505" t="s">
        <v>109</v>
      </c>
      <c r="C21" s="505"/>
      <c r="D21" s="505"/>
      <c r="E21" s="505"/>
      <c r="F21" s="505"/>
      <c r="G21" s="505"/>
      <c r="H21" s="505"/>
      <c r="I21" s="8"/>
    </row>
    <row r="22" spans="1:14" ht="26.25" customHeight="1" x14ac:dyDescent="0.4">
      <c r="A22" s="5" t="s">
        <v>15</v>
      </c>
      <c r="B22" s="9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1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0</v>
      </c>
      <c r="B25" s="10"/>
    </row>
    <row r="26" spans="1:14" ht="26.25" customHeight="1" x14ac:dyDescent="0.4">
      <c r="A26" s="12" t="s">
        <v>1</v>
      </c>
      <c r="B26" s="500" t="s">
        <v>105</v>
      </c>
      <c r="C26" s="500"/>
    </row>
    <row r="27" spans="1:14" ht="26.25" customHeight="1" x14ac:dyDescent="0.4">
      <c r="A27" s="13" t="s">
        <v>26</v>
      </c>
      <c r="B27" s="498" t="s">
        <v>106</v>
      </c>
      <c r="C27" s="498"/>
    </row>
    <row r="28" spans="1:14" ht="27" customHeight="1" x14ac:dyDescent="0.4">
      <c r="A28" s="13" t="s">
        <v>2</v>
      </c>
      <c r="B28" s="14">
        <v>100.4</v>
      </c>
    </row>
    <row r="29" spans="1:14" s="2" customFormat="1" ht="27" customHeight="1" x14ac:dyDescent="0.4">
      <c r="A29" s="13" t="s">
        <v>27</v>
      </c>
      <c r="B29" s="15">
        <v>0</v>
      </c>
      <c r="C29" s="475" t="s">
        <v>28</v>
      </c>
      <c r="D29" s="476"/>
      <c r="E29" s="476"/>
      <c r="F29" s="476"/>
      <c r="G29" s="477"/>
      <c r="I29" s="16"/>
      <c r="J29" s="16"/>
      <c r="K29" s="16"/>
      <c r="L29" s="16"/>
    </row>
    <row r="30" spans="1:14" s="2" customFormat="1" ht="19.5" customHeight="1" x14ac:dyDescent="0.3">
      <c r="A30" s="13" t="s">
        <v>29</v>
      </c>
      <c r="B30" s="17">
        <f>B28-B29</f>
        <v>100.4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30</v>
      </c>
      <c r="B31" s="20">
        <v>1</v>
      </c>
      <c r="C31" s="478" t="s">
        <v>31</v>
      </c>
      <c r="D31" s="479"/>
      <c r="E31" s="479"/>
      <c r="F31" s="479"/>
      <c r="G31" s="479"/>
      <c r="H31" s="480"/>
      <c r="I31" s="16"/>
      <c r="J31" s="16"/>
      <c r="K31" s="16"/>
      <c r="L31" s="16"/>
    </row>
    <row r="32" spans="1:14" s="2" customFormat="1" ht="27" customHeight="1" x14ac:dyDescent="0.4">
      <c r="A32" s="13" t="s">
        <v>32</v>
      </c>
      <c r="B32" s="20">
        <v>1</v>
      </c>
      <c r="C32" s="478" t="s">
        <v>33</v>
      </c>
      <c r="D32" s="479"/>
      <c r="E32" s="479"/>
      <c r="F32" s="479"/>
      <c r="G32" s="479"/>
      <c r="H32" s="480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34</v>
      </c>
      <c r="B34" s="25">
        <f>B31/B32</f>
        <v>1</v>
      </c>
      <c r="C34" s="4" t="s">
        <v>35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36</v>
      </c>
      <c r="B36" s="27">
        <v>50</v>
      </c>
      <c r="C36" s="4"/>
      <c r="D36" s="481" t="s">
        <v>37</v>
      </c>
      <c r="E36" s="499"/>
      <c r="F36" s="481" t="s">
        <v>38</v>
      </c>
      <c r="G36" s="482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39</v>
      </c>
      <c r="B37" s="29">
        <v>5</v>
      </c>
      <c r="C37" s="30" t="s">
        <v>40</v>
      </c>
      <c r="D37" s="31" t="s">
        <v>41</v>
      </c>
      <c r="E37" s="32" t="s">
        <v>42</v>
      </c>
      <c r="F37" s="31" t="s">
        <v>41</v>
      </c>
      <c r="G37" s="33" t="s">
        <v>42</v>
      </c>
      <c r="I37" s="34" t="s">
        <v>43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44</v>
      </c>
      <c r="B38" s="29">
        <v>25</v>
      </c>
      <c r="C38" s="35">
        <v>1</v>
      </c>
      <c r="D38" s="36">
        <v>57767576</v>
      </c>
      <c r="E38" s="37">
        <f>IF(ISBLANK(D38),"-",$D$48/$D$45*D38)</f>
        <v>69860886.710564256</v>
      </c>
      <c r="F38" s="36">
        <v>56494703</v>
      </c>
      <c r="G38" s="38">
        <f>IF(ISBLANK(F38),"-",$D$48/$F$45*F38)</f>
        <v>72325995.503845811</v>
      </c>
      <c r="I38" s="39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45</v>
      </c>
      <c r="B39" s="29">
        <v>1</v>
      </c>
      <c r="C39" s="40">
        <v>2</v>
      </c>
      <c r="D39" s="41">
        <v>57892958</v>
      </c>
      <c r="E39" s="42">
        <f>IF(ISBLANK(D39),"-",$D$48/$D$45*D39)</f>
        <v>70012516.713137746</v>
      </c>
      <c r="F39" s="41">
        <v>56573689</v>
      </c>
      <c r="G39" s="43">
        <f>IF(ISBLANK(F39),"-",$D$48/$F$45*F39)</f>
        <v>72427115.445672333</v>
      </c>
      <c r="I39" s="483">
        <f>ABS((F43/D43*D42)-F42)/D42</f>
        <v>3.2968860656643457E-2</v>
      </c>
      <c r="J39" s="16"/>
      <c r="K39" s="16"/>
      <c r="L39" s="21"/>
      <c r="M39" s="21"/>
      <c r="N39" s="22"/>
    </row>
    <row r="40" spans="1:14" ht="26.25" customHeight="1" x14ac:dyDescent="0.4">
      <c r="A40" s="28" t="s">
        <v>46</v>
      </c>
      <c r="B40" s="29">
        <v>1</v>
      </c>
      <c r="C40" s="40">
        <v>3</v>
      </c>
      <c r="D40" s="41">
        <v>57896563</v>
      </c>
      <c r="E40" s="42">
        <f>IF(ISBLANK(D40),"-",$D$48/$D$45*D40)</f>
        <v>70016876.399211317</v>
      </c>
      <c r="F40" s="41">
        <v>56601404</v>
      </c>
      <c r="G40" s="43">
        <f>IF(ISBLANK(F40),"-",$D$48/$F$45*F40)</f>
        <v>72462596.913118735</v>
      </c>
      <c r="I40" s="483"/>
      <c r="L40" s="21"/>
      <c r="M40" s="21"/>
      <c r="N40" s="44"/>
    </row>
    <row r="41" spans="1:14" ht="27" customHeight="1" x14ac:dyDescent="0.4">
      <c r="A41" s="28" t="s">
        <v>47</v>
      </c>
      <c r="B41" s="29">
        <v>1</v>
      </c>
      <c r="C41" s="45">
        <v>4</v>
      </c>
      <c r="D41" s="46"/>
      <c r="E41" s="47" t="str">
        <f>IF(ISBLANK(D41),"-",$D$48/$D$45*D41)</f>
        <v>-</v>
      </c>
      <c r="F41" s="46"/>
      <c r="G41" s="48" t="str">
        <f>IF(ISBLANK(F41),"-",$D$48/$F$45*F41)</f>
        <v>-</v>
      </c>
      <c r="I41" s="49"/>
      <c r="L41" s="21"/>
      <c r="M41" s="21"/>
      <c r="N41" s="44"/>
    </row>
    <row r="42" spans="1:14" ht="27" customHeight="1" x14ac:dyDescent="0.4">
      <c r="A42" s="28" t="s">
        <v>48</v>
      </c>
      <c r="B42" s="29">
        <v>1</v>
      </c>
      <c r="C42" s="50" t="s">
        <v>49</v>
      </c>
      <c r="D42" s="51">
        <f>AVERAGE(D38:D41)</f>
        <v>57852365.666666664</v>
      </c>
      <c r="E42" s="52">
        <f>AVERAGE(E38:E41)</f>
        <v>69963426.607637778</v>
      </c>
      <c r="F42" s="51">
        <f>AVERAGE(F38:F41)</f>
        <v>56556598.666666664</v>
      </c>
      <c r="G42" s="53">
        <f>AVERAGE(G38:G41)</f>
        <v>72405235.954212293</v>
      </c>
      <c r="H42" s="54"/>
    </row>
    <row r="43" spans="1:14" ht="26.25" customHeight="1" x14ac:dyDescent="0.4">
      <c r="A43" s="28" t="s">
        <v>50</v>
      </c>
      <c r="B43" s="29">
        <v>1</v>
      </c>
      <c r="C43" s="55" t="s">
        <v>51</v>
      </c>
      <c r="D43" s="56">
        <v>20.59</v>
      </c>
      <c r="E43" s="44"/>
      <c r="F43" s="56">
        <v>19.45</v>
      </c>
      <c r="H43" s="54"/>
    </row>
    <row r="44" spans="1:14" ht="26.25" customHeight="1" x14ac:dyDescent="0.4">
      <c r="A44" s="28" t="s">
        <v>52</v>
      </c>
      <c r="B44" s="29">
        <v>1</v>
      </c>
      <c r="C44" s="57" t="s">
        <v>53</v>
      </c>
      <c r="D44" s="58">
        <f>D43*$B$34</f>
        <v>20.59</v>
      </c>
      <c r="E44" s="59"/>
      <c r="F44" s="58">
        <f>F43*$B$34</f>
        <v>19.45</v>
      </c>
      <c r="H44" s="54"/>
    </row>
    <row r="45" spans="1:14" ht="19.5" customHeight="1" x14ac:dyDescent="0.3">
      <c r="A45" s="28" t="s">
        <v>54</v>
      </c>
      <c r="B45" s="60">
        <f>(B44/B43)*(B42/B41)*(B40/B39)*(B38/B37)*B36</f>
        <v>250</v>
      </c>
      <c r="C45" s="57" t="s">
        <v>55</v>
      </c>
      <c r="D45" s="61">
        <f>D44*$B$30/100</f>
        <v>20.672359999999998</v>
      </c>
      <c r="E45" s="62"/>
      <c r="F45" s="61">
        <f>F44*$B$30/100</f>
        <v>19.527799999999999</v>
      </c>
      <c r="H45" s="54"/>
    </row>
    <row r="46" spans="1:14" ht="19.5" customHeight="1" x14ac:dyDescent="0.3">
      <c r="A46" s="469" t="s">
        <v>56</v>
      </c>
      <c r="B46" s="470"/>
      <c r="C46" s="57" t="s">
        <v>57</v>
      </c>
      <c r="D46" s="63">
        <f>D45/$B$45</f>
        <v>8.2689439999999989E-2</v>
      </c>
      <c r="E46" s="64"/>
      <c r="F46" s="65">
        <f>F45/$B$45</f>
        <v>7.8111199999999992E-2</v>
      </c>
      <c r="H46" s="54"/>
    </row>
    <row r="47" spans="1:14" ht="27" customHeight="1" x14ac:dyDescent="0.4">
      <c r="A47" s="471"/>
      <c r="B47" s="472"/>
      <c r="C47" s="66" t="s">
        <v>58</v>
      </c>
      <c r="D47" s="67">
        <v>0.1</v>
      </c>
      <c r="E47" s="68"/>
      <c r="F47" s="64"/>
      <c r="H47" s="54"/>
    </row>
    <row r="48" spans="1:14" ht="18.75" x14ac:dyDescent="0.3">
      <c r="C48" s="69" t="s">
        <v>59</v>
      </c>
      <c r="D48" s="61">
        <f>D47*$B$45</f>
        <v>25</v>
      </c>
      <c r="F48" s="70"/>
      <c r="H48" s="54"/>
    </row>
    <row r="49" spans="1:12" ht="19.5" customHeight="1" x14ac:dyDescent="0.3">
      <c r="C49" s="71" t="s">
        <v>60</v>
      </c>
      <c r="D49" s="72">
        <f>D48/B34</f>
        <v>25</v>
      </c>
      <c r="F49" s="70"/>
      <c r="H49" s="54"/>
    </row>
    <row r="50" spans="1:12" ht="18.75" x14ac:dyDescent="0.3">
      <c r="C50" s="26" t="s">
        <v>61</v>
      </c>
      <c r="D50" s="73">
        <f>AVERAGE(E38:E41,G38:G41)</f>
        <v>71184331.280925021</v>
      </c>
      <c r="F50" s="74"/>
      <c r="H50" s="54"/>
    </row>
    <row r="51" spans="1:12" ht="18.75" x14ac:dyDescent="0.3">
      <c r="C51" s="28" t="s">
        <v>62</v>
      </c>
      <c r="D51" s="75">
        <f>STDEV(E38:E41,G38:G41)/D50</f>
        <v>1.8815431618066251E-2</v>
      </c>
      <c r="F51" s="74"/>
      <c r="H51" s="54"/>
    </row>
    <row r="52" spans="1:12" ht="19.5" customHeight="1" x14ac:dyDescent="0.3">
      <c r="C52" s="76" t="s">
        <v>3</v>
      </c>
      <c r="D52" s="77">
        <f>COUNT(E38:E41,G38:G41)</f>
        <v>6</v>
      </c>
      <c r="F52" s="74"/>
    </row>
    <row r="54" spans="1:12" ht="18.75" x14ac:dyDescent="0.3">
      <c r="A54" s="78" t="s">
        <v>0</v>
      </c>
      <c r="B54" s="79" t="s">
        <v>63</v>
      </c>
    </row>
    <row r="55" spans="1:12" ht="18.75" x14ac:dyDescent="0.3">
      <c r="A55" s="4" t="s">
        <v>64</v>
      </c>
      <c r="B55" s="80" t="str">
        <f>B21</f>
        <v xml:space="preserve"> Lamivudine 300mg and Tenofovir Disoproxil Fumarate 300 mg</v>
      </c>
    </row>
    <row r="56" spans="1:12" ht="26.25" customHeight="1" x14ac:dyDescent="0.4">
      <c r="A56" s="81" t="s">
        <v>65</v>
      </c>
      <c r="B56" s="82">
        <v>300</v>
      </c>
      <c r="C56" s="4" t="str">
        <f>B20</f>
        <v xml:space="preserve">Lamivudine </v>
      </c>
      <c r="H56" s="83"/>
    </row>
    <row r="57" spans="1:12" ht="18.75" x14ac:dyDescent="0.3">
      <c r="A57" s="80" t="s">
        <v>66</v>
      </c>
      <c r="B57" s="172">
        <v>1053.0150000000001</v>
      </c>
      <c r="H57" s="83"/>
    </row>
    <row r="58" spans="1:12" ht="19.5" customHeight="1" x14ac:dyDescent="0.3">
      <c r="H58" s="83"/>
    </row>
    <row r="59" spans="1:12" s="2" customFormat="1" ht="27" customHeight="1" x14ac:dyDescent="0.4">
      <c r="A59" s="26" t="s">
        <v>67</v>
      </c>
      <c r="B59" s="27">
        <v>100</v>
      </c>
      <c r="C59" s="4"/>
      <c r="D59" s="84" t="s">
        <v>68</v>
      </c>
      <c r="E59" s="85" t="s">
        <v>40</v>
      </c>
      <c r="F59" s="85" t="s">
        <v>41</v>
      </c>
      <c r="G59" s="85" t="s">
        <v>69</v>
      </c>
      <c r="H59" s="30" t="s">
        <v>70</v>
      </c>
      <c r="L59" s="16"/>
    </row>
    <row r="60" spans="1:12" s="2" customFormat="1" ht="26.25" customHeight="1" x14ac:dyDescent="0.4">
      <c r="A60" s="28" t="s">
        <v>71</v>
      </c>
      <c r="B60" s="29">
        <v>5</v>
      </c>
      <c r="C60" s="486" t="s">
        <v>72</v>
      </c>
      <c r="D60" s="489">
        <v>176.37</v>
      </c>
      <c r="E60" s="86">
        <v>1</v>
      </c>
      <c r="F60" s="87">
        <v>67339789</v>
      </c>
      <c r="G60" s="173">
        <f>IF(ISBLANK(F60),"-",(F60/$D$50*$D$47*$B$68)*($B$57/$D$60))</f>
        <v>282.4016233041915</v>
      </c>
      <c r="H60" s="88">
        <f t="shared" ref="H60:H71" si="0">IF(ISBLANK(F60),"-",G60/$B$56)</f>
        <v>0.94133874434730502</v>
      </c>
      <c r="L60" s="16"/>
    </row>
    <row r="61" spans="1:12" s="2" customFormat="1" ht="26.25" customHeight="1" x14ac:dyDescent="0.4">
      <c r="A61" s="28" t="s">
        <v>73</v>
      </c>
      <c r="B61" s="29">
        <v>25</v>
      </c>
      <c r="C61" s="487"/>
      <c r="D61" s="490"/>
      <c r="E61" s="89">
        <v>2</v>
      </c>
      <c r="F61" s="41">
        <v>69834987</v>
      </c>
      <c r="G61" s="174">
        <f>IF(ISBLANK(F61),"-",(F61/$D$50*$D$47*$B$68)*($B$57/$D$60))</f>
        <v>292.86568884596755</v>
      </c>
      <c r="H61" s="90">
        <f t="shared" si="0"/>
        <v>0.97621896281989184</v>
      </c>
      <c r="L61" s="16"/>
    </row>
    <row r="62" spans="1:12" s="2" customFormat="1" ht="26.25" customHeight="1" x14ac:dyDescent="0.4">
      <c r="A62" s="28" t="s">
        <v>74</v>
      </c>
      <c r="B62" s="29">
        <v>1</v>
      </c>
      <c r="C62" s="487"/>
      <c r="D62" s="490"/>
      <c r="E62" s="89">
        <v>3</v>
      </c>
      <c r="F62" s="91">
        <v>69622868</v>
      </c>
      <c r="G62" s="174">
        <f>IF(ISBLANK(F62),"-",(F62/$D$50*$D$47*$B$68)*($B$57/$D$60))</f>
        <v>291.97612933259182</v>
      </c>
      <c r="H62" s="90">
        <f t="shared" si="0"/>
        <v>0.97325376444197276</v>
      </c>
      <c r="L62" s="16"/>
    </row>
    <row r="63" spans="1:12" ht="27" customHeight="1" x14ac:dyDescent="0.4">
      <c r="A63" s="28" t="s">
        <v>75</v>
      </c>
      <c r="B63" s="29">
        <v>1</v>
      </c>
      <c r="C63" s="497"/>
      <c r="D63" s="491"/>
      <c r="E63" s="92">
        <v>4</v>
      </c>
      <c r="F63" s="93"/>
      <c r="G63" s="174" t="str">
        <f>IF(ISBLANK(F63),"-",(F63/$D$50*$D$47*$B$68)*($B$57/$D$60))</f>
        <v>-</v>
      </c>
      <c r="H63" s="90" t="str">
        <f t="shared" si="0"/>
        <v>-</v>
      </c>
    </row>
    <row r="64" spans="1:12" ht="26.25" customHeight="1" x14ac:dyDescent="0.4">
      <c r="A64" s="28" t="s">
        <v>76</v>
      </c>
      <c r="B64" s="29">
        <v>1</v>
      </c>
      <c r="C64" s="486" t="s">
        <v>77</v>
      </c>
      <c r="D64" s="489">
        <v>175.93</v>
      </c>
      <c r="E64" s="86">
        <v>1</v>
      </c>
      <c r="F64" s="87">
        <v>66761958</v>
      </c>
      <c r="G64" s="175">
        <f>IF(ISBLANK(F64),"-",(F64/$D$50*$D$47*$B$68)*($B$57/$D$64))</f>
        <v>280.67860862279736</v>
      </c>
      <c r="H64" s="94">
        <f t="shared" si="0"/>
        <v>0.93559536207599114</v>
      </c>
    </row>
    <row r="65" spans="1:8" ht="26.25" customHeight="1" x14ac:dyDescent="0.4">
      <c r="A65" s="28" t="s">
        <v>78</v>
      </c>
      <c r="B65" s="29">
        <v>1</v>
      </c>
      <c r="C65" s="487"/>
      <c r="D65" s="490"/>
      <c r="E65" s="89">
        <v>2</v>
      </c>
      <c r="F65" s="41">
        <v>68576483</v>
      </c>
      <c r="G65" s="176">
        <f>IF(ISBLANK(F65),"-",(F65/$D$50*$D$47*$B$68)*($B$57/$D$64))</f>
        <v>288.30717985660209</v>
      </c>
      <c r="H65" s="95">
        <f t="shared" si="0"/>
        <v>0.96102393285534027</v>
      </c>
    </row>
    <row r="66" spans="1:8" ht="26.25" customHeight="1" x14ac:dyDescent="0.4">
      <c r="A66" s="28" t="s">
        <v>79</v>
      </c>
      <c r="B66" s="29">
        <v>1</v>
      </c>
      <c r="C66" s="487"/>
      <c r="D66" s="490"/>
      <c r="E66" s="89">
        <v>3</v>
      </c>
      <c r="F66" s="41">
        <v>68580794</v>
      </c>
      <c r="G66" s="176">
        <f>IF(ISBLANK(F66),"-",(F66/$D$50*$D$47*$B$68)*($B$57/$D$64))</f>
        <v>288.32530403267515</v>
      </c>
      <c r="H66" s="95">
        <f t="shared" si="0"/>
        <v>0.96108434677558385</v>
      </c>
    </row>
    <row r="67" spans="1:8" ht="27" customHeight="1" x14ac:dyDescent="0.4">
      <c r="A67" s="28" t="s">
        <v>80</v>
      </c>
      <c r="B67" s="29">
        <v>1</v>
      </c>
      <c r="C67" s="497"/>
      <c r="D67" s="491"/>
      <c r="E67" s="92">
        <v>4</v>
      </c>
      <c r="F67" s="93"/>
      <c r="G67" s="177" t="str">
        <f>IF(ISBLANK(F67),"-",(F67/$D$50*$D$47*$B$68)*($B$57/$D$64))</f>
        <v>-</v>
      </c>
      <c r="H67" s="96" t="str">
        <f t="shared" si="0"/>
        <v>-</v>
      </c>
    </row>
    <row r="68" spans="1:8" ht="26.25" customHeight="1" x14ac:dyDescent="0.4">
      <c r="A68" s="28" t="s">
        <v>81</v>
      </c>
      <c r="B68" s="97">
        <f>(B67/B66)*(B65/B64)*(B63/B62)*(B61/B60)*B59</f>
        <v>500</v>
      </c>
      <c r="C68" s="486" t="s">
        <v>82</v>
      </c>
      <c r="D68" s="489">
        <v>177.75</v>
      </c>
      <c r="E68" s="86">
        <v>1</v>
      </c>
      <c r="F68" s="87"/>
      <c r="G68" s="175" t="str">
        <f>IF(ISBLANK(F68),"-",(F68/$D$50*$D$47*$B$68)*($B$57/$D$68))</f>
        <v>-</v>
      </c>
      <c r="H68" s="90" t="str">
        <f t="shared" si="0"/>
        <v>-</v>
      </c>
    </row>
    <row r="69" spans="1:8" ht="27" customHeight="1" x14ac:dyDescent="0.4">
      <c r="A69" s="76" t="s">
        <v>83</v>
      </c>
      <c r="B69" s="98">
        <f>(D47*B68)/B56*B57</f>
        <v>175.5025</v>
      </c>
      <c r="C69" s="487"/>
      <c r="D69" s="490"/>
      <c r="E69" s="89">
        <v>2</v>
      </c>
      <c r="F69" s="41">
        <v>69135155</v>
      </c>
      <c r="G69" s="176">
        <f>IF(ISBLANK(F69),"-",(F69/$D$50*$D$47*$B$68)*($B$57/$D$68))</f>
        <v>287.6798767049894</v>
      </c>
      <c r="H69" s="90">
        <f t="shared" si="0"/>
        <v>0.95893292234996463</v>
      </c>
    </row>
    <row r="70" spans="1:8" ht="26.25" customHeight="1" x14ac:dyDescent="0.4">
      <c r="A70" s="492" t="s">
        <v>56</v>
      </c>
      <c r="B70" s="493"/>
      <c r="C70" s="487"/>
      <c r="D70" s="490"/>
      <c r="E70" s="89">
        <v>3</v>
      </c>
      <c r="F70" s="41">
        <v>69199768</v>
      </c>
      <c r="G70" s="176">
        <f>IF(ISBLANK(F70),"-",(F70/$D$50*$D$47*$B$68)*($B$57/$D$68))</f>
        <v>287.948739338964</v>
      </c>
      <c r="H70" s="90">
        <f t="shared" si="0"/>
        <v>0.95982913112988</v>
      </c>
    </row>
    <row r="71" spans="1:8" ht="27" customHeight="1" x14ac:dyDescent="0.4">
      <c r="A71" s="494"/>
      <c r="B71" s="495"/>
      <c r="C71" s="488"/>
      <c r="D71" s="491"/>
      <c r="E71" s="92">
        <v>4</v>
      </c>
      <c r="F71" s="93"/>
      <c r="G71" s="177" t="str">
        <f>IF(ISBLANK(F71),"-",(F71/$D$50*$D$47*$B$68)*($B$57/$D$68))</f>
        <v>-</v>
      </c>
      <c r="H71" s="99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02" t="s">
        <v>49</v>
      </c>
      <c r="G72" s="182">
        <f>AVERAGE(G60:G71)</f>
        <v>287.52289375484736</v>
      </c>
      <c r="H72" s="103">
        <f>AVERAGE(H60:H71)</f>
        <v>0.95840964584949118</v>
      </c>
    </row>
    <row r="73" spans="1:8" ht="26.25" customHeight="1" x14ac:dyDescent="0.4">
      <c r="C73" s="100"/>
      <c r="D73" s="100"/>
      <c r="E73" s="100"/>
      <c r="F73" s="104" t="s">
        <v>62</v>
      </c>
      <c r="G73" s="178">
        <f>STDEV(G60:G71)/G72</f>
        <v>1.4573978184471611E-2</v>
      </c>
      <c r="H73" s="178">
        <f>STDEV(H60:H71)/H72</f>
        <v>1.4573978184471618E-2</v>
      </c>
    </row>
    <row r="74" spans="1:8" ht="27" customHeight="1" x14ac:dyDescent="0.4">
      <c r="A74" s="100"/>
      <c r="B74" s="100"/>
      <c r="C74" s="101"/>
      <c r="D74" s="101"/>
      <c r="E74" s="105"/>
      <c r="F74" s="106" t="s">
        <v>3</v>
      </c>
      <c r="G74" s="107">
        <f>COUNT(G60:G71)</f>
        <v>8</v>
      </c>
      <c r="H74" s="107">
        <f>COUNT(H60:H71)</f>
        <v>8</v>
      </c>
    </row>
    <row r="76" spans="1:8" ht="26.25" customHeight="1" x14ac:dyDescent="0.4">
      <c r="A76" s="12" t="s">
        <v>84</v>
      </c>
      <c r="B76" s="108" t="s">
        <v>85</v>
      </c>
      <c r="C76" s="473" t="str">
        <f>B20</f>
        <v xml:space="preserve">Lamivudine </v>
      </c>
      <c r="D76" s="473"/>
      <c r="E76" s="109" t="s">
        <v>86</v>
      </c>
      <c r="F76" s="109"/>
      <c r="G76" s="110">
        <f>H72</f>
        <v>0.95840964584949118</v>
      </c>
      <c r="H76" s="111"/>
    </row>
    <row r="77" spans="1:8" ht="18.75" x14ac:dyDescent="0.3">
      <c r="A77" s="11" t="s">
        <v>87</v>
      </c>
      <c r="B77" s="11" t="s">
        <v>88</v>
      </c>
    </row>
    <row r="78" spans="1:8" ht="18.75" x14ac:dyDescent="0.3">
      <c r="A78" s="11"/>
      <c r="B78" s="11"/>
    </row>
    <row r="79" spans="1:8" ht="26.25" customHeight="1" x14ac:dyDescent="0.4">
      <c r="A79" s="12" t="s">
        <v>1</v>
      </c>
      <c r="B79" s="496" t="str">
        <f>B26</f>
        <v>Lamivudine</v>
      </c>
      <c r="C79" s="496"/>
    </row>
    <row r="80" spans="1:8" ht="26.25" customHeight="1" x14ac:dyDescent="0.4">
      <c r="A80" s="13" t="s">
        <v>26</v>
      </c>
      <c r="B80" s="496" t="str">
        <f>B27</f>
        <v>L3-7</v>
      </c>
      <c r="C80" s="496"/>
    </row>
    <row r="81" spans="1:12" ht="27" customHeight="1" x14ac:dyDescent="0.4">
      <c r="A81" s="13" t="s">
        <v>2</v>
      </c>
      <c r="B81" s="112">
        <f>B28</f>
        <v>100.4</v>
      </c>
    </row>
    <row r="82" spans="1:12" s="2" customFormat="1" ht="27" customHeight="1" x14ac:dyDescent="0.4">
      <c r="A82" s="13" t="s">
        <v>27</v>
      </c>
      <c r="B82" s="15">
        <v>0</v>
      </c>
      <c r="C82" s="475" t="s">
        <v>28</v>
      </c>
      <c r="D82" s="476"/>
      <c r="E82" s="476"/>
      <c r="F82" s="476"/>
      <c r="G82" s="477"/>
      <c r="I82" s="16"/>
      <c r="J82" s="16"/>
      <c r="K82" s="16"/>
      <c r="L82" s="16"/>
    </row>
    <row r="83" spans="1:12" s="2" customFormat="1" ht="19.5" customHeight="1" x14ac:dyDescent="0.3">
      <c r="A83" s="13" t="s">
        <v>29</v>
      </c>
      <c r="B83" s="17">
        <f>B81-B82</f>
        <v>100.4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30</v>
      </c>
      <c r="B84" s="20">
        <v>1</v>
      </c>
      <c r="C84" s="478" t="s">
        <v>89</v>
      </c>
      <c r="D84" s="479"/>
      <c r="E84" s="479"/>
      <c r="F84" s="479"/>
      <c r="G84" s="479"/>
      <c r="H84" s="480"/>
      <c r="I84" s="16"/>
      <c r="J84" s="16"/>
      <c r="K84" s="16"/>
      <c r="L84" s="16"/>
    </row>
    <row r="85" spans="1:12" s="2" customFormat="1" ht="27" customHeight="1" x14ac:dyDescent="0.4">
      <c r="A85" s="13" t="s">
        <v>32</v>
      </c>
      <c r="B85" s="20">
        <v>1</v>
      </c>
      <c r="C85" s="478" t="s">
        <v>90</v>
      </c>
      <c r="D85" s="479"/>
      <c r="E85" s="479"/>
      <c r="F85" s="479"/>
      <c r="G85" s="479"/>
      <c r="H85" s="480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34</v>
      </c>
      <c r="B87" s="25">
        <f>B84/B85</f>
        <v>1</v>
      </c>
      <c r="C87" s="4" t="s">
        <v>35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36</v>
      </c>
      <c r="B89" s="27">
        <v>50</v>
      </c>
      <c r="D89" s="113" t="s">
        <v>37</v>
      </c>
      <c r="E89" s="114"/>
      <c r="F89" s="481" t="s">
        <v>38</v>
      </c>
      <c r="G89" s="482"/>
    </row>
    <row r="90" spans="1:12" ht="27" customHeight="1" x14ac:dyDescent="0.4">
      <c r="A90" s="28" t="s">
        <v>39</v>
      </c>
      <c r="B90" s="29">
        <v>15</v>
      </c>
      <c r="C90" s="115" t="s">
        <v>40</v>
      </c>
      <c r="D90" s="31" t="s">
        <v>41</v>
      </c>
      <c r="E90" s="32" t="s">
        <v>42</v>
      </c>
      <c r="F90" s="31" t="s">
        <v>41</v>
      </c>
      <c r="G90" s="116" t="s">
        <v>42</v>
      </c>
      <c r="I90" s="34" t="s">
        <v>43</v>
      </c>
    </row>
    <row r="91" spans="1:12" ht="26.25" customHeight="1" x14ac:dyDescent="0.4">
      <c r="A91" s="28" t="s">
        <v>44</v>
      </c>
      <c r="B91" s="29">
        <v>25</v>
      </c>
      <c r="C91" s="117">
        <v>1</v>
      </c>
      <c r="D91" s="36">
        <v>189349697</v>
      </c>
      <c r="E91" s="37">
        <f>IF(ISBLANK(D91),"-",$D$101/$D$98*D91)</f>
        <v>254432188.94966787</v>
      </c>
      <c r="F91" s="36">
        <v>184865269</v>
      </c>
      <c r="G91" s="38">
        <f>IF(ISBLANK(F91),"-",$D$101/$F$98*F91)</f>
        <v>262965943.99323586</v>
      </c>
      <c r="I91" s="39"/>
    </row>
    <row r="92" spans="1:12" ht="26.25" customHeight="1" x14ac:dyDescent="0.4">
      <c r="A92" s="28" t="s">
        <v>45</v>
      </c>
      <c r="B92" s="29">
        <v>1</v>
      </c>
      <c r="C92" s="101">
        <v>2</v>
      </c>
      <c r="D92" s="41">
        <v>189138009</v>
      </c>
      <c r="E92" s="42">
        <f>IF(ISBLANK(D92),"-",$D$101/$D$98*D92)</f>
        <v>254147740.42892703</v>
      </c>
      <c r="F92" s="41">
        <v>185212020</v>
      </c>
      <c r="G92" s="43">
        <f>IF(ISBLANK(F92),"-",$D$101/$F$98*F92)</f>
        <v>263459188.09765226</v>
      </c>
      <c r="I92" s="483">
        <f>ABS((F96/D96*D95)-F95)/D95</f>
        <v>3.3189785171838654E-2</v>
      </c>
    </row>
    <row r="93" spans="1:12" ht="26.25" customHeight="1" x14ac:dyDescent="0.4">
      <c r="A93" s="28" t="s">
        <v>46</v>
      </c>
      <c r="B93" s="29">
        <v>1</v>
      </c>
      <c r="C93" s="101">
        <v>3</v>
      </c>
      <c r="D93" s="41">
        <v>189043478</v>
      </c>
      <c r="E93" s="42">
        <f>IF(ISBLANK(D93),"-",$D$101/$D$98*D93)</f>
        <v>254020717.62596157</v>
      </c>
      <c r="F93" s="41">
        <v>184867814</v>
      </c>
      <c r="G93" s="43">
        <f>IF(ISBLANK(F93),"-",$D$101/$F$98*F93)</f>
        <v>262969564.18826267</v>
      </c>
      <c r="I93" s="483"/>
    </row>
    <row r="94" spans="1:12" ht="27" customHeight="1" x14ac:dyDescent="0.4">
      <c r="A94" s="28" t="s">
        <v>47</v>
      </c>
      <c r="B94" s="29">
        <v>1</v>
      </c>
      <c r="C94" s="118">
        <v>4</v>
      </c>
      <c r="D94" s="46"/>
      <c r="E94" s="47" t="str">
        <f>IF(ISBLANK(D94),"-",$D$101/$D$98*D94)</f>
        <v>-</v>
      </c>
      <c r="F94" s="119"/>
      <c r="G94" s="48" t="str">
        <f>IF(ISBLANK(F94),"-",$D$101/$F$98*F94)</f>
        <v>-</v>
      </c>
      <c r="I94" s="49"/>
    </row>
    <row r="95" spans="1:12" ht="27" customHeight="1" x14ac:dyDescent="0.4">
      <c r="A95" s="28" t="s">
        <v>48</v>
      </c>
      <c r="B95" s="29">
        <v>1</v>
      </c>
      <c r="C95" s="120" t="s">
        <v>49</v>
      </c>
      <c r="D95" s="121">
        <f>AVERAGE(D91:D94)</f>
        <v>189177061.33333334</v>
      </c>
      <c r="E95" s="52">
        <f>AVERAGE(E91:E94)</f>
        <v>254200215.66818547</v>
      </c>
      <c r="F95" s="122">
        <f>AVERAGE(F91:F94)</f>
        <v>184981701</v>
      </c>
      <c r="G95" s="123">
        <f>AVERAGE(G91:G94)</f>
        <v>263131565.42638361</v>
      </c>
    </row>
    <row r="96" spans="1:12" ht="26.25" customHeight="1" x14ac:dyDescent="0.4">
      <c r="A96" s="28" t="s">
        <v>50</v>
      </c>
      <c r="B96" s="14">
        <v>1</v>
      </c>
      <c r="C96" s="124" t="s">
        <v>91</v>
      </c>
      <c r="D96" s="125">
        <v>20.59</v>
      </c>
      <c r="E96" s="44"/>
      <c r="F96" s="56">
        <v>19.45</v>
      </c>
    </row>
    <row r="97" spans="1:10" ht="26.25" customHeight="1" x14ac:dyDescent="0.4">
      <c r="A97" s="28" t="s">
        <v>52</v>
      </c>
      <c r="B97" s="14">
        <v>1</v>
      </c>
      <c r="C97" s="126" t="s">
        <v>92</v>
      </c>
      <c r="D97" s="127">
        <f>D96*$B$87</f>
        <v>20.59</v>
      </c>
      <c r="E97" s="59"/>
      <c r="F97" s="58">
        <f>F96*$B$87</f>
        <v>19.45</v>
      </c>
    </row>
    <row r="98" spans="1:10" ht="19.5" customHeight="1" x14ac:dyDescent="0.3">
      <c r="A98" s="28" t="s">
        <v>54</v>
      </c>
      <c r="B98" s="128">
        <f>(B97/B96)*(B95/B94)*(B93/B92)*(B91/B90)*B89</f>
        <v>83.333333333333343</v>
      </c>
      <c r="C98" s="126" t="s">
        <v>93</v>
      </c>
      <c r="D98" s="129">
        <f>D97*$B$83/100</f>
        <v>20.672359999999998</v>
      </c>
      <c r="E98" s="62"/>
      <c r="F98" s="61">
        <f>F97*$B$83/100</f>
        <v>19.527799999999999</v>
      </c>
    </row>
    <row r="99" spans="1:10" ht="19.5" customHeight="1" x14ac:dyDescent="0.3">
      <c r="A99" s="469" t="s">
        <v>56</v>
      </c>
      <c r="B99" s="484"/>
      <c r="C99" s="126" t="s">
        <v>94</v>
      </c>
      <c r="D99" s="130">
        <f>D98/$B$98</f>
        <v>0.24806831999999995</v>
      </c>
      <c r="E99" s="62"/>
      <c r="F99" s="65">
        <f>F98/$B$98</f>
        <v>0.23433359999999998</v>
      </c>
      <c r="G99" s="131"/>
      <c r="H99" s="54"/>
    </row>
    <row r="100" spans="1:10" ht="19.5" customHeight="1" x14ac:dyDescent="0.3">
      <c r="A100" s="471"/>
      <c r="B100" s="485"/>
      <c r="C100" s="126" t="s">
        <v>58</v>
      </c>
      <c r="D100" s="132">
        <f>$B$56/$B$116</f>
        <v>0.33333333333333331</v>
      </c>
      <c r="F100" s="70"/>
      <c r="G100" s="133"/>
      <c r="H100" s="54"/>
    </row>
    <row r="101" spans="1:10" ht="18.75" x14ac:dyDescent="0.3">
      <c r="C101" s="126" t="s">
        <v>59</v>
      </c>
      <c r="D101" s="127">
        <f>D100*$B$98</f>
        <v>27.777777777777779</v>
      </c>
      <c r="F101" s="70"/>
      <c r="G101" s="131"/>
      <c r="H101" s="54"/>
    </row>
    <row r="102" spans="1:10" ht="19.5" customHeight="1" x14ac:dyDescent="0.3">
      <c r="C102" s="134" t="s">
        <v>60</v>
      </c>
      <c r="D102" s="135">
        <f>D101/B34</f>
        <v>27.777777777777779</v>
      </c>
      <c r="F102" s="74"/>
      <c r="G102" s="131"/>
      <c r="H102" s="54"/>
      <c r="J102" s="136"/>
    </row>
    <row r="103" spans="1:10" ht="18.75" x14ac:dyDescent="0.3">
      <c r="C103" s="137" t="s">
        <v>95</v>
      </c>
      <c r="D103" s="138">
        <f>AVERAGE(E91:E94,G91:G94)</f>
        <v>258665890.54728451</v>
      </c>
      <c r="F103" s="74"/>
      <c r="G103" s="139"/>
      <c r="H103" s="54"/>
      <c r="J103" s="140"/>
    </row>
    <row r="104" spans="1:10" ht="18.75" x14ac:dyDescent="0.3">
      <c r="C104" s="104" t="s">
        <v>62</v>
      </c>
      <c r="D104" s="141">
        <f>STDEV(E91:E94,G91:G94)/D103</f>
        <v>1.8931778679156883E-2</v>
      </c>
      <c r="F104" s="74"/>
      <c r="G104" s="131"/>
      <c r="H104" s="54"/>
      <c r="J104" s="140"/>
    </row>
    <row r="105" spans="1:10" ht="19.5" customHeight="1" x14ac:dyDescent="0.3">
      <c r="C105" s="106" t="s">
        <v>3</v>
      </c>
      <c r="D105" s="142">
        <f>COUNT(E91:E94,G91:G94)</f>
        <v>6</v>
      </c>
      <c r="F105" s="74"/>
      <c r="G105" s="131"/>
      <c r="H105" s="54"/>
      <c r="J105" s="140"/>
    </row>
    <row r="106" spans="1:10" ht="19.5" customHeight="1" x14ac:dyDescent="0.3">
      <c r="A106" s="78"/>
      <c r="B106" s="78"/>
      <c r="C106" s="78"/>
      <c r="D106" s="78"/>
      <c r="E106" s="78"/>
    </row>
    <row r="107" spans="1:10" ht="26.25" customHeight="1" x14ac:dyDescent="0.4">
      <c r="A107" s="26" t="s">
        <v>96</v>
      </c>
      <c r="B107" s="27">
        <v>900</v>
      </c>
      <c r="C107" s="143" t="s">
        <v>97</v>
      </c>
      <c r="D107" s="144" t="s">
        <v>41</v>
      </c>
      <c r="E107" s="145" t="s">
        <v>98</v>
      </c>
      <c r="F107" s="146" t="s">
        <v>99</v>
      </c>
    </row>
    <row r="108" spans="1:10" ht="26.25" customHeight="1" x14ac:dyDescent="0.4">
      <c r="A108" s="28" t="s">
        <v>100</v>
      </c>
      <c r="B108" s="29">
        <v>1</v>
      </c>
      <c r="C108" s="147">
        <v>1</v>
      </c>
      <c r="D108" s="148">
        <v>226323072</v>
      </c>
      <c r="E108" s="179">
        <f t="shared" ref="E108:E113" si="1">IF(ISBLANK(D108),"-",D108/$D$103*$D$100*$B$116)</f>
        <v>262.48888655687807</v>
      </c>
      <c r="F108" s="149">
        <f t="shared" ref="F108:F113" si="2">IF(ISBLANK(D108), "-", E108/$B$56)</f>
        <v>0.87496295518959355</v>
      </c>
    </row>
    <row r="109" spans="1:10" ht="26.25" customHeight="1" x14ac:dyDescent="0.4">
      <c r="A109" s="28" t="s">
        <v>73</v>
      </c>
      <c r="B109" s="29">
        <v>1</v>
      </c>
      <c r="C109" s="147">
        <v>2</v>
      </c>
      <c r="D109" s="148">
        <v>226788727</v>
      </c>
      <c r="E109" s="180">
        <f t="shared" si="1"/>
        <v>263.02895196598331</v>
      </c>
      <c r="F109" s="150">
        <f t="shared" si="2"/>
        <v>0.87676317321994435</v>
      </c>
    </row>
    <row r="110" spans="1:10" ht="26.25" customHeight="1" x14ac:dyDescent="0.4">
      <c r="A110" s="28" t="s">
        <v>74</v>
      </c>
      <c r="B110" s="29">
        <v>1</v>
      </c>
      <c r="C110" s="147">
        <v>3</v>
      </c>
      <c r="D110" s="148">
        <v>229728768</v>
      </c>
      <c r="E110" s="180">
        <f t="shared" si="1"/>
        <v>266.43880356309126</v>
      </c>
      <c r="F110" s="150">
        <f t="shared" si="2"/>
        <v>0.88812934521030418</v>
      </c>
    </row>
    <row r="111" spans="1:10" ht="26.25" customHeight="1" x14ac:dyDescent="0.4">
      <c r="A111" s="28" t="s">
        <v>75</v>
      </c>
      <c r="B111" s="29">
        <v>1</v>
      </c>
      <c r="C111" s="147">
        <v>4</v>
      </c>
      <c r="D111" s="148">
        <v>225887865</v>
      </c>
      <c r="E111" s="180">
        <f t="shared" si="1"/>
        <v>261.98413465579148</v>
      </c>
      <c r="F111" s="150">
        <f t="shared" si="2"/>
        <v>0.87328044885263822</v>
      </c>
    </row>
    <row r="112" spans="1:10" ht="26.25" customHeight="1" x14ac:dyDescent="0.4">
      <c r="A112" s="28" t="s">
        <v>76</v>
      </c>
      <c r="B112" s="29">
        <v>1</v>
      </c>
      <c r="C112" s="147">
        <v>5</v>
      </c>
      <c r="D112" s="148">
        <v>226376861</v>
      </c>
      <c r="E112" s="180">
        <f t="shared" si="1"/>
        <v>262.55127089354437</v>
      </c>
      <c r="F112" s="150">
        <f t="shared" si="2"/>
        <v>0.87517090297848121</v>
      </c>
    </row>
    <row r="113" spans="1:10" ht="26.25" customHeight="1" x14ac:dyDescent="0.4">
      <c r="A113" s="28" t="s">
        <v>78</v>
      </c>
      <c r="B113" s="29">
        <v>1</v>
      </c>
      <c r="C113" s="151">
        <v>6</v>
      </c>
      <c r="D113" s="152">
        <v>226974844</v>
      </c>
      <c r="E113" s="181">
        <f t="shared" si="1"/>
        <v>263.24480995901774</v>
      </c>
      <c r="F113" s="153">
        <f t="shared" si="2"/>
        <v>0.87748269986339245</v>
      </c>
    </row>
    <row r="114" spans="1:10" ht="26.25" customHeight="1" x14ac:dyDescent="0.4">
      <c r="A114" s="28" t="s">
        <v>79</v>
      </c>
      <c r="B114" s="29">
        <v>1</v>
      </c>
      <c r="C114" s="147"/>
      <c r="D114" s="101"/>
      <c r="E114" s="3"/>
      <c r="F114" s="154"/>
    </row>
    <row r="115" spans="1:10" ht="26.25" customHeight="1" x14ac:dyDescent="0.4">
      <c r="A115" s="28" t="s">
        <v>80</v>
      </c>
      <c r="B115" s="29">
        <v>1</v>
      </c>
      <c r="C115" s="147"/>
      <c r="D115" s="155" t="s">
        <v>49</v>
      </c>
      <c r="E115" s="183">
        <f>AVERAGE(E108:E113)</f>
        <v>263.28947626571772</v>
      </c>
      <c r="F115" s="156">
        <f>AVERAGE(F108:F113)</f>
        <v>0.87763158755239223</v>
      </c>
    </row>
    <row r="116" spans="1:10" ht="27" customHeight="1" x14ac:dyDescent="0.4">
      <c r="A116" s="28" t="s">
        <v>81</v>
      </c>
      <c r="B116" s="60">
        <f>(B115/B114)*(B113/B112)*(B111/B110)*(B109/B108)*B107</f>
        <v>900</v>
      </c>
      <c r="C116" s="157"/>
      <c r="D116" s="120" t="s">
        <v>62</v>
      </c>
      <c r="E116" s="158">
        <f>STDEV(E108:E113)/E115</f>
        <v>6.0954344510489814E-3</v>
      </c>
      <c r="F116" s="158">
        <f>STDEV(F108:F113)/F115</f>
        <v>6.0954344510489927E-3</v>
      </c>
      <c r="I116" s="3"/>
    </row>
    <row r="117" spans="1:10" ht="27" customHeight="1" x14ac:dyDescent="0.4">
      <c r="A117" s="469" t="s">
        <v>56</v>
      </c>
      <c r="B117" s="470"/>
      <c r="C117" s="159"/>
      <c r="D117" s="160" t="s">
        <v>3</v>
      </c>
      <c r="E117" s="161">
        <f>COUNT(E108:E113)</f>
        <v>6</v>
      </c>
      <c r="F117" s="161">
        <f>COUNT(F108:F113)</f>
        <v>6</v>
      </c>
      <c r="I117" s="3"/>
      <c r="J117" s="140"/>
    </row>
    <row r="118" spans="1:10" ht="19.5" customHeight="1" x14ac:dyDescent="0.3">
      <c r="A118" s="471"/>
      <c r="B118" s="472"/>
      <c r="C118" s="3"/>
      <c r="D118" s="3"/>
      <c r="E118" s="3"/>
      <c r="F118" s="101"/>
      <c r="G118" s="3"/>
      <c r="H118" s="3"/>
      <c r="I118" s="3"/>
    </row>
    <row r="119" spans="1:10" ht="18.75" x14ac:dyDescent="0.3">
      <c r="A119" s="170"/>
      <c r="B119" s="24"/>
      <c r="C119" s="3"/>
      <c r="D119" s="3"/>
      <c r="E119" s="3"/>
      <c r="F119" s="101"/>
      <c r="G119" s="3"/>
      <c r="H119" s="3"/>
      <c r="I119" s="3"/>
    </row>
    <row r="120" spans="1:10" ht="26.25" customHeight="1" x14ac:dyDescent="0.4">
      <c r="A120" s="12" t="s">
        <v>84</v>
      </c>
      <c r="B120" s="108" t="s">
        <v>101</v>
      </c>
      <c r="C120" s="473" t="str">
        <f>B20</f>
        <v xml:space="preserve">Lamivudine </v>
      </c>
      <c r="D120" s="473"/>
      <c r="E120" s="109" t="s">
        <v>102</v>
      </c>
      <c r="F120" s="109"/>
      <c r="G120" s="110">
        <f>F115</f>
        <v>0.87763158755239223</v>
      </c>
      <c r="H120" s="3"/>
      <c r="I120" s="3"/>
    </row>
    <row r="121" spans="1:10" ht="19.5" customHeight="1" x14ac:dyDescent="0.3">
      <c r="A121" s="162"/>
      <c r="B121" s="162"/>
      <c r="C121" s="163"/>
      <c r="D121" s="163"/>
      <c r="E121" s="163"/>
      <c r="F121" s="163"/>
      <c r="G121" s="163"/>
      <c r="H121" s="163"/>
    </row>
    <row r="122" spans="1:10" ht="18.75" x14ac:dyDescent="0.3">
      <c r="B122" s="474" t="s">
        <v>4</v>
      </c>
      <c r="C122" s="474"/>
      <c r="E122" s="115" t="s">
        <v>5</v>
      </c>
      <c r="F122" s="164"/>
      <c r="G122" s="474" t="s">
        <v>6</v>
      </c>
      <c r="H122" s="474"/>
    </row>
    <row r="123" spans="1:10" ht="69.95" customHeight="1" x14ac:dyDescent="0.3">
      <c r="A123" s="165" t="s">
        <v>7</v>
      </c>
      <c r="B123" s="166"/>
      <c r="C123" s="166"/>
      <c r="E123" s="166"/>
      <c r="F123" s="3"/>
      <c r="G123" s="167"/>
      <c r="H123" s="167"/>
    </row>
    <row r="124" spans="1:10" ht="69.95" customHeight="1" x14ac:dyDescent="0.3">
      <c r="A124" s="165" t="s">
        <v>8</v>
      </c>
      <c r="B124" s="168"/>
      <c r="C124" s="168"/>
      <c r="E124" s="168"/>
      <c r="F124" s="3"/>
      <c r="G124" s="169"/>
      <c r="H124" s="169"/>
    </row>
    <row r="125" spans="1:10" ht="18.75" x14ac:dyDescent="0.3">
      <c r="A125" s="100"/>
      <c r="B125" s="100"/>
      <c r="C125" s="101"/>
      <c r="D125" s="101"/>
      <c r="E125" s="101"/>
      <c r="F125" s="105"/>
      <c r="G125" s="101"/>
      <c r="H125" s="101"/>
      <c r="I125" s="3"/>
    </row>
    <row r="126" spans="1:10" ht="18.75" x14ac:dyDescent="0.3">
      <c r="A126" s="100"/>
      <c r="B126" s="100"/>
      <c r="C126" s="101"/>
      <c r="D126" s="101"/>
      <c r="E126" s="101"/>
      <c r="F126" s="105"/>
      <c r="G126" s="101"/>
      <c r="H126" s="101"/>
      <c r="I126" s="3"/>
    </row>
    <row r="127" spans="1:10" ht="18.75" x14ac:dyDescent="0.3">
      <c r="A127" s="100"/>
      <c r="B127" s="100"/>
      <c r="C127" s="101"/>
      <c r="D127" s="101"/>
      <c r="E127" s="101"/>
      <c r="F127" s="105"/>
      <c r="G127" s="101"/>
      <c r="H127" s="101"/>
      <c r="I127" s="3"/>
    </row>
    <row r="128" spans="1:10" ht="18.75" x14ac:dyDescent="0.3">
      <c r="A128" s="100"/>
      <c r="B128" s="100"/>
      <c r="C128" s="101"/>
      <c r="D128" s="101"/>
      <c r="E128" s="101"/>
      <c r="F128" s="105"/>
      <c r="G128" s="101"/>
      <c r="H128" s="101"/>
      <c r="I128" s="3"/>
    </row>
    <row r="129" spans="1:9" ht="18.75" x14ac:dyDescent="0.3">
      <c r="A129" s="100"/>
      <c r="B129" s="100"/>
      <c r="C129" s="101"/>
      <c r="D129" s="101"/>
      <c r="E129" s="101"/>
      <c r="F129" s="105"/>
      <c r="G129" s="101"/>
      <c r="H129" s="101"/>
      <c r="I129" s="3"/>
    </row>
    <row r="130" spans="1:9" ht="18.75" x14ac:dyDescent="0.3">
      <c r="A130" s="100"/>
      <c r="B130" s="100"/>
      <c r="C130" s="101"/>
      <c r="D130" s="101"/>
      <c r="E130" s="101"/>
      <c r="F130" s="105"/>
      <c r="G130" s="101"/>
      <c r="H130" s="101"/>
      <c r="I130" s="3"/>
    </row>
    <row r="131" spans="1:9" ht="18.75" x14ac:dyDescent="0.3">
      <c r="A131" s="100"/>
      <c r="B131" s="100"/>
      <c r="C131" s="101"/>
      <c r="D131" s="101"/>
      <c r="E131" s="101"/>
      <c r="F131" s="105"/>
      <c r="G131" s="101"/>
      <c r="H131" s="101"/>
      <c r="I131" s="3"/>
    </row>
    <row r="132" spans="1:9" ht="18.75" x14ac:dyDescent="0.3">
      <c r="A132" s="100"/>
      <c r="B132" s="100"/>
      <c r="C132" s="101"/>
      <c r="D132" s="101"/>
      <c r="E132" s="101"/>
      <c r="F132" s="105"/>
      <c r="G132" s="101"/>
      <c r="H132" s="101"/>
      <c r="I132" s="3"/>
    </row>
    <row r="133" spans="1:9" ht="18.75" x14ac:dyDescent="0.3">
      <c r="A133" s="100"/>
      <c r="B133" s="100"/>
      <c r="C133" s="101"/>
      <c r="D133" s="101"/>
      <c r="E133" s="101"/>
      <c r="F133" s="105"/>
      <c r="G133" s="101"/>
      <c r="H133" s="101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0" zoomScale="60" zoomScaleNormal="40" zoomScalePageLayoutView="50" workbookViewId="0">
      <selection activeCell="F91" sqref="F9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7" t="s">
        <v>23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24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x14ac:dyDescent="0.3">
      <c r="A15" s="185"/>
    </row>
    <row r="16" spans="1:9" ht="19.5" customHeight="1" x14ac:dyDescent="0.3">
      <c r="A16" s="501" t="s">
        <v>9</v>
      </c>
      <c r="B16" s="502"/>
      <c r="C16" s="502"/>
      <c r="D16" s="502"/>
      <c r="E16" s="502"/>
      <c r="F16" s="502"/>
      <c r="G16" s="502"/>
      <c r="H16" s="503"/>
    </row>
    <row r="17" spans="1:14" ht="20.25" customHeight="1" x14ac:dyDescent="0.25">
      <c r="A17" s="504" t="s">
        <v>25</v>
      </c>
      <c r="B17" s="504"/>
      <c r="C17" s="504"/>
      <c r="D17" s="504"/>
      <c r="E17" s="504"/>
      <c r="F17" s="504"/>
      <c r="G17" s="504"/>
      <c r="H17" s="504"/>
    </row>
    <row r="18" spans="1:14" ht="26.25" customHeight="1" x14ac:dyDescent="0.4">
      <c r="A18" s="187" t="s">
        <v>11</v>
      </c>
      <c r="B18" s="500" t="s">
        <v>103</v>
      </c>
      <c r="C18" s="500"/>
      <c r="D18" s="353"/>
      <c r="E18" s="188"/>
      <c r="F18" s="189"/>
      <c r="G18" s="189"/>
      <c r="H18" s="189"/>
    </row>
    <row r="19" spans="1:14" ht="26.25" customHeight="1" x14ac:dyDescent="0.4">
      <c r="A19" s="187" t="s">
        <v>12</v>
      </c>
      <c r="B19" s="456" t="s">
        <v>111</v>
      </c>
      <c r="C19" s="366">
        <v>29</v>
      </c>
      <c r="D19" s="189"/>
      <c r="E19" s="189"/>
      <c r="F19" s="189"/>
      <c r="G19" s="189"/>
      <c r="H19" s="189"/>
    </row>
    <row r="20" spans="1:14" ht="26.25" customHeight="1" x14ac:dyDescent="0.4">
      <c r="A20" s="187" t="s">
        <v>13</v>
      </c>
      <c r="B20" s="505" t="s">
        <v>107</v>
      </c>
      <c r="C20" s="505"/>
      <c r="D20" s="189"/>
      <c r="E20" s="189"/>
      <c r="F20" s="189"/>
      <c r="G20" s="189"/>
      <c r="H20" s="189"/>
    </row>
    <row r="21" spans="1:14" ht="26.25" customHeight="1" x14ac:dyDescent="0.4">
      <c r="A21" s="187" t="s">
        <v>14</v>
      </c>
      <c r="B21" s="505" t="s">
        <v>109</v>
      </c>
      <c r="C21" s="505"/>
      <c r="D21" s="505"/>
      <c r="E21" s="505"/>
      <c r="F21" s="505"/>
      <c r="G21" s="505"/>
      <c r="H21" s="505"/>
      <c r="I21" s="190"/>
    </row>
    <row r="22" spans="1:14" ht="26.25" customHeight="1" x14ac:dyDescent="0.4">
      <c r="A22" s="187" t="s">
        <v>15</v>
      </c>
      <c r="B22" s="191">
        <v>42527</v>
      </c>
      <c r="C22" s="189"/>
      <c r="D22" s="189"/>
      <c r="E22" s="189"/>
      <c r="F22" s="189"/>
      <c r="G22" s="189"/>
      <c r="H22" s="189"/>
    </row>
    <row r="23" spans="1:14" ht="26.25" customHeight="1" x14ac:dyDescent="0.4">
      <c r="A23" s="187" t="s">
        <v>16</v>
      </c>
      <c r="B23" s="191">
        <v>42528</v>
      </c>
      <c r="C23" s="189"/>
      <c r="D23" s="189"/>
      <c r="E23" s="189"/>
      <c r="F23" s="189"/>
      <c r="G23" s="189"/>
      <c r="H23" s="189"/>
    </row>
    <row r="24" spans="1:14" ht="18.75" x14ac:dyDescent="0.3">
      <c r="A24" s="187"/>
      <c r="B24" s="192"/>
    </row>
    <row r="25" spans="1:14" ht="18.75" x14ac:dyDescent="0.3">
      <c r="A25" s="193" t="s">
        <v>0</v>
      </c>
      <c r="B25" s="192"/>
    </row>
    <row r="26" spans="1:14" ht="26.25" customHeight="1" x14ac:dyDescent="0.4">
      <c r="A26" s="194" t="s">
        <v>1</v>
      </c>
      <c r="B26" s="500" t="s">
        <v>107</v>
      </c>
      <c r="C26" s="500"/>
    </row>
    <row r="27" spans="1:14" ht="26.25" customHeight="1" x14ac:dyDescent="0.4">
      <c r="A27" s="195" t="s">
        <v>26</v>
      </c>
      <c r="B27" s="498" t="s">
        <v>108</v>
      </c>
      <c r="C27" s="498"/>
    </row>
    <row r="28" spans="1:14" ht="27" customHeight="1" x14ac:dyDescent="0.4">
      <c r="A28" s="195" t="s">
        <v>2</v>
      </c>
      <c r="B28" s="196">
        <v>98.8</v>
      </c>
    </row>
    <row r="29" spans="1:14" s="2" customFormat="1" ht="27" customHeight="1" x14ac:dyDescent="0.4">
      <c r="A29" s="195" t="s">
        <v>27</v>
      </c>
      <c r="B29" s="197">
        <v>0</v>
      </c>
      <c r="C29" s="475" t="s">
        <v>28</v>
      </c>
      <c r="D29" s="476"/>
      <c r="E29" s="476"/>
      <c r="F29" s="476"/>
      <c r="G29" s="477"/>
      <c r="I29" s="198"/>
      <c r="J29" s="198"/>
      <c r="K29" s="198"/>
      <c r="L29" s="198"/>
    </row>
    <row r="30" spans="1:14" s="2" customFormat="1" ht="19.5" customHeight="1" x14ac:dyDescent="0.3">
      <c r="A30" s="195" t="s">
        <v>29</v>
      </c>
      <c r="B30" s="199">
        <f>B28-B29</f>
        <v>98.8</v>
      </c>
      <c r="C30" s="200"/>
      <c r="D30" s="200"/>
      <c r="E30" s="200"/>
      <c r="F30" s="200"/>
      <c r="G30" s="201"/>
      <c r="I30" s="198"/>
      <c r="J30" s="198"/>
      <c r="K30" s="198"/>
      <c r="L30" s="198"/>
    </row>
    <row r="31" spans="1:14" s="2" customFormat="1" ht="27" customHeight="1" x14ac:dyDescent="0.4">
      <c r="A31" s="195" t="s">
        <v>30</v>
      </c>
      <c r="B31" s="202">
        <v>1</v>
      </c>
      <c r="C31" s="478" t="s">
        <v>31</v>
      </c>
      <c r="D31" s="479"/>
      <c r="E31" s="479"/>
      <c r="F31" s="479"/>
      <c r="G31" s="479"/>
      <c r="H31" s="480"/>
      <c r="I31" s="198"/>
      <c r="J31" s="198"/>
      <c r="K31" s="198"/>
      <c r="L31" s="198"/>
    </row>
    <row r="32" spans="1:14" s="2" customFormat="1" ht="27" customHeight="1" x14ac:dyDescent="0.4">
      <c r="A32" s="195" t="s">
        <v>32</v>
      </c>
      <c r="B32" s="202">
        <v>1</v>
      </c>
      <c r="C32" s="478" t="s">
        <v>33</v>
      </c>
      <c r="D32" s="479"/>
      <c r="E32" s="479"/>
      <c r="F32" s="479"/>
      <c r="G32" s="479"/>
      <c r="H32" s="480"/>
      <c r="I32" s="198"/>
      <c r="J32" s="198"/>
      <c r="K32" s="198"/>
      <c r="L32" s="203"/>
      <c r="M32" s="203"/>
      <c r="N32" s="204"/>
    </row>
    <row r="33" spans="1:14" s="2" customFormat="1" ht="17.25" customHeight="1" x14ac:dyDescent="0.3">
      <c r="A33" s="195"/>
      <c r="B33" s="205"/>
      <c r="C33" s="206"/>
      <c r="D33" s="206"/>
      <c r="E33" s="206"/>
      <c r="F33" s="206"/>
      <c r="G33" s="206"/>
      <c r="H33" s="206"/>
      <c r="I33" s="198"/>
      <c r="J33" s="198"/>
      <c r="K33" s="198"/>
      <c r="L33" s="203"/>
      <c r="M33" s="203"/>
      <c r="N33" s="204"/>
    </row>
    <row r="34" spans="1:14" s="2" customFormat="1" ht="18.75" x14ac:dyDescent="0.3">
      <c r="A34" s="195" t="s">
        <v>34</v>
      </c>
      <c r="B34" s="207">
        <f>B31/B32</f>
        <v>1</v>
      </c>
      <c r="C34" s="186" t="s">
        <v>35</v>
      </c>
      <c r="D34" s="186"/>
      <c r="E34" s="186"/>
      <c r="F34" s="186"/>
      <c r="G34" s="186"/>
      <c r="I34" s="198"/>
      <c r="J34" s="198"/>
      <c r="K34" s="198"/>
      <c r="L34" s="203"/>
      <c r="M34" s="203"/>
      <c r="N34" s="204"/>
    </row>
    <row r="35" spans="1:14" s="2" customFormat="1" ht="19.5" customHeight="1" x14ac:dyDescent="0.3">
      <c r="A35" s="195"/>
      <c r="B35" s="199"/>
      <c r="G35" s="186"/>
      <c r="I35" s="198"/>
      <c r="J35" s="198"/>
      <c r="K35" s="198"/>
      <c r="L35" s="203"/>
      <c r="M35" s="203"/>
      <c r="N35" s="204"/>
    </row>
    <row r="36" spans="1:14" s="2" customFormat="1" ht="27" customHeight="1" x14ac:dyDescent="0.4">
      <c r="A36" s="208" t="s">
        <v>36</v>
      </c>
      <c r="B36" s="209">
        <v>25</v>
      </c>
      <c r="C36" s="186"/>
      <c r="D36" s="481" t="s">
        <v>37</v>
      </c>
      <c r="E36" s="499"/>
      <c r="F36" s="481" t="s">
        <v>38</v>
      </c>
      <c r="G36" s="482"/>
      <c r="J36" s="198"/>
      <c r="K36" s="198"/>
      <c r="L36" s="203"/>
      <c r="M36" s="203"/>
      <c r="N36" s="204"/>
    </row>
    <row r="37" spans="1:14" s="2" customFormat="1" ht="27" customHeight="1" x14ac:dyDescent="0.4">
      <c r="A37" s="210" t="s">
        <v>39</v>
      </c>
      <c r="B37" s="211">
        <v>3</v>
      </c>
      <c r="C37" s="212" t="s">
        <v>40</v>
      </c>
      <c r="D37" s="213" t="s">
        <v>41</v>
      </c>
      <c r="E37" s="214" t="s">
        <v>42</v>
      </c>
      <c r="F37" s="213" t="s">
        <v>41</v>
      </c>
      <c r="G37" s="215" t="s">
        <v>42</v>
      </c>
      <c r="I37" s="216" t="s">
        <v>43</v>
      </c>
      <c r="J37" s="198"/>
      <c r="K37" s="198"/>
      <c r="L37" s="203"/>
      <c r="M37" s="203"/>
      <c r="N37" s="204"/>
    </row>
    <row r="38" spans="1:14" s="2" customFormat="1" ht="26.25" customHeight="1" x14ac:dyDescent="0.4">
      <c r="A38" s="210" t="s">
        <v>44</v>
      </c>
      <c r="B38" s="211">
        <v>25</v>
      </c>
      <c r="C38" s="217">
        <v>1</v>
      </c>
      <c r="D38" s="218">
        <v>57347458</v>
      </c>
      <c r="E38" s="219">
        <f>IF(ISBLANK(D38),"-",$D$48/$D$45*D38)</f>
        <v>56986319.735665575</v>
      </c>
      <c r="F38" s="218">
        <v>55969832</v>
      </c>
      <c r="G38" s="220">
        <f>IF(ISBLANK(F38),"-",$D$48/$F$45*F38)</f>
        <v>57263492.166388065</v>
      </c>
      <c r="I38" s="221"/>
      <c r="J38" s="198"/>
      <c r="K38" s="198"/>
      <c r="L38" s="203"/>
      <c r="M38" s="203"/>
      <c r="N38" s="204"/>
    </row>
    <row r="39" spans="1:14" s="2" customFormat="1" ht="26.25" customHeight="1" x14ac:dyDescent="0.4">
      <c r="A39" s="210" t="s">
        <v>45</v>
      </c>
      <c r="B39" s="211">
        <v>1</v>
      </c>
      <c r="C39" s="222">
        <v>2</v>
      </c>
      <c r="D39" s="223">
        <v>57434558</v>
      </c>
      <c r="E39" s="224">
        <f>IF(ISBLANK(D39),"-",$D$48/$D$45*D39)</f>
        <v>57072871.234582521</v>
      </c>
      <c r="F39" s="223">
        <v>56039660</v>
      </c>
      <c r="G39" s="225">
        <f>IF(ISBLANK(F39),"-",$D$48/$F$45*F39)</f>
        <v>57334934.13768065</v>
      </c>
      <c r="I39" s="483">
        <f>ABS((F43/D43*D42)-F42)/D42</f>
        <v>4.7731526070085122E-3</v>
      </c>
      <c r="J39" s="198"/>
      <c r="K39" s="198"/>
      <c r="L39" s="203"/>
      <c r="M39" s="203"/>
      <c r="N39" s="204"/>
    </row>
    <row r="40" spans="1:14" ht="26.25" customHeight="1" x14ac:dyDescent="0.4">
      <c r="A40" s="210" t="s">
        <v>46</v>
      </c>
      <c r="B40" s="211">
        <v>1</v>
      </c>
      <c r="C40" s="222">
        <v>3</v>
      </c>
      <c r="D40" s="223">
        <v>57460594</v>
      </c>
      <c r="E40" s="224">
        <f>IF(ISBLANK(D40),"-",$D$48/$D$45*D40)</f>
        <v>57098743.276210554</v>
      </c>
      <c r="F40" s="223">
        <v>56103892</v>
      </c>
      <c r="G40" s="225">
        <f>IF(ISBLANK(F40),"-",$D$48/$F$45*F40)</f>
        <v>57400650.765681811</v>
      </c>
      <c r="I40" s="483"/>
      <c r="L40" s="203"/>
      <c r="M40" s="203"/>
      <c r="N40" s="226"/>
    </row>
    <row r="41" spans="1:14" ht="27" customHeight="1" x14ac:dyDescent="0.4">
      <c r="A41" s="210" t="s">
        <v>47</v>
      </c>
      <c r="B41" s="211">
        <v>1</v>
      </c>
      <c r="C41" s="227">
        <v>4</v>
      </c>
      <c r="D41" s="228"/>
      <c r="E41" s="229" t="str">
        <f>IF(ISBLANK(D41),"-",$D$48/$D$45*D41)</f>
        <v>-</v>
      </c>
      <c r="F41" s="228"/>
      <c r="G41" s="230" t="str">
        <f>IF(ISBLANK(F41),"-",$D$48/$F$45*F41)</f>
        <v>-</v>
      </c>
      <c r="I41" s="231"/>
      <c r="L41" s="203"/>
      <c r="M41" s="203"/>
      <c r="N41" s="226"/>
    </row>
    <row r="42" spans="1:14" ht="27" customHeight="1" x14ac:dyDescent="0.4">
      <c r="A42" s="210" t="s">
        <v>48</v>
      </c>
      <c r="B42" s="211">
        <v>1</v>
      </c>
      <c r="C42" s="232" t="s">
        <v>49</v>
      </c>
      <c r="D42" s="233">
        <f>AVERAGE(D38:D41)</f>
        <v>57414203.333333336</v>
      </c>
      <c r="E42" s="234">
        <f>AVERAGE(E38:E41)</f>
        <v>57052644.748819552</v>
      </c>
      <c r="F42" s="233">
        <f>AVERAGE(F38:F41)</f>
        <v>56037794.666666664</v>
      </c>
      <c r="G42" s="235">
        <f>AVERAGE(G38:G41)</f>
        <v>57333025.689916842</v>
      </c>
      <c r="H42" s="236"/>
    </row>
    <row r="43" spans="1:14" ht="26.25" customHeight="1" x14ac:dyDescent="0.4">
      <c r="A43" s="210" t="s">
        <v>50</v>
      </c>
      <c r="B43" s="211">
        <v>1</v>
      </c>
      <c r="C43" s="237" t="s">
        <v>51</v>
      </c>
      <c r="D43" s="238">
        <v>21.22</v>
      </c>
      <c r="E43" s="226"/>
      <c r="F43" s="238">
        <v>20.61</v>
      </c>
      <c r="H43" s="236"/>
    </row>
    <row r="44" spans="1:14" ht="26.25" customHeight="1" x14ac:dyDescent="0.4">
      <c r="A44" s="210" t="s">
        <v>52</v>
      </c>
      <c r="B44" s="211">
        <v>1</v>
      </c>
      <c r="C44" s="239" t="s">
        <v>53</v>
      </c>
      <c r="D44" s="240">
        <f>D43*$B$34</f>
        <v>21.22</v>
      </c>
      <c r="E44" s="241"/>
      <c r="F44" s="240">
        <f>F43*$B$34</f>
        <v>20.61</v>
      </c>
      <c r="H44" s="236"/>
    </row>
    <row r="45" spans="1:14" ht="19.5" customHeight="1" x14ac:dyDescent="0.3">
      <c r="A45" s="210" t="s">
        <v>54</v>
      </c>
      <c r="B45" s="242">
        <f>(B44/B43)*(B42/B41)*(B40/B39)*(B38/B37)*B36</f>
        <v>208.33333333333334</v>
      </c>
      <c r="C45" s="239" t="s">
        <v>55</v>
      </c>
      <c r="D45" s="243">
        <f>D44*$B$30/100</f>
        <v>20.965359999999997</v>
      </c>
      <c r="E45" s="244"/>
      <c r="F45" s="243">
        <f>F44*$B$30/100</f>
        <v>20.362679999999997</v>
      </c>
      <c r="H45" s="236"/>
    </row>
    <row r="46" spans="1:14" ht="19.5" customHeight="1" x14ac:dyDescent="0.3">
      <c r="A46" s="469" t="s">
        <v>56</v>
      </c>
      <c r="B46" s="470"/>
      <c r="C46" s="239" t="s">
        <v>57</v>
      </c>
      <c r="D46" s="245">
        <f>D45/$B$45</f>
        <v>0.10063372799999998</v>
      </c>
      <c r="E46" s="246"/>
      <c r="F46" s="247">
        <f>F45/$B$45</f>
        <v>9.7740863999999983E-2</v>
      </c>
      <c r="H46" s="236"/>
    </row>
    <row r="47" spans="1:14" ht="27" customHeight="1" x14ac:dyDescent="0.4">
      <c r="A47" s="471"/>
      <c r="B47" s="472"/>
      <c r="C47" s="248" t="s">
        <v>58</v>
      </c>
      <c r="D47" s="249">
        <v>0.1</v>
      </c>
      <c r="E47" s="250"/>
      <c r="F47" s="246"/>
      <c r="H47" s="236"/>
    </row>
    <row r="48" spans="1:14" ht="18.75" x14ac:dyDescent="0.3">
      <c r="C48" s="251" t="s">
        <v>59</v>
      </c>
      <c r="D48" s="243">
        <f>D47*$B$45</f>
        <v>20.833333333333336</v>
      </c>
      <c r="F48" s="252"/>
      <c r="H48" s="236"/>
    </row>
    <row r="49" spans="1:12" ht="19.5" customHeight="1" x14ac:dyDescent="0.3">
      <c r="C49" s="253" t="s">
        <v>60</v>
      </c>
      <c r="D49" s="254">
        <f>D48/B34</f>
        <v>20.833333333333336</v>
      </c>
      <c r="F49" s="252"/>
      <c r="H49" s="236"/>
    </row>
    <row r="50" spans="1:12" ht="18.75" x14ac:dyDescent="0.3">
      <c r="C50" s="208" t="s">
        <v>61</v>
      </c>
      <c r="D50" s="255">
        <f>AVERAGE(E38:E41,G38:G41)</f>
        <v>57192835.21936819</v>
      </c>
      <c r="F50" s="256"/>
      <c r="H50" s="236"/>
    </row>
    <row r="51" spans="1:12" ht="18.75" x14ac:dyDescent="0.3">
      <c r="C51" s="210" t="s">
        <v>62</v>
      </c>
      <c r="D51" s="257">
        <f>STDEV(E38:E41,G38:G41)/D50</f>
        <v>2.8652000397608986E-3</v>
      </c>
      <c r="F51" s="256"/>
      <c r="H51" s="236"/>
    </row>
    <row r="52" spans="1:12" ht="19.5" customHeight="1" x14ac:dyDescent="0.3">
      <c r="C52" s="258" t="s">
        <v>3</v>
      </c>
      <c r="D52" s="259">
        <f>COUNT(E38:E41,G38:G41)</f>
        <v>6</v>
      </c>
      <c r="F52" s="256"/>
    </row>
    <row r="54" spans="1:12" ht="18.75" x14ac:dyDescent="0.3">
      <c r="A54" s="260" t="s">
        <v>0</v>
      </c>
      <c r="B54" s="261" t="s">
        <v>63</v>
      </c>
    </row>
    <row r="55" spans="1:12" ht="18.75" x14ac:dyDescent="0.3">
      <c r="A55" s="186" t="s">
        <v>64</v>
      </c>
      <c r="B55" s="262" t="str">
        <f>B21</f>
        <v xml:space="preserve"> Lamivudine 300mg and Tenofovir Disoproxil Fumarate 300 mg</v>
      </c>
    </row>
    <row r="56" spans="1:12" ht="26.25" customHeight="1" x14ac:dyDescent="0.4">
      <c r="A56" s="263" t="s">
        <v>65</v>
      </c>
      <c r="B56" s="264">
        <v>300</v>
      </c>
      <c r="C56" s="186" t="str">
        <f>B20</f>
        <v>Tenofovir Disoproxil Fumarate</v>
      </c>
      <c r="H56" s="265"/>
    </row>
    <row r="57" spans="1:12" ht="18.75" x14ac:dyDescent="0.3">
      <c r="A57" s="262" t="s">
        <v>66</v>
      </c>
      <c r="B57" s="354">
        <v>1053.0150000000001</v>
      </c>
      <c r="H57" s="265"/>
    </row>
    <row r="58" spans="1:12" ht="19.5" customHeight="1" x14ac:dyDescent="0.3">
      <c r="H58" s="265"/>
    </row>
    <row r="59" spans="1:12" s="2" customFormat="1" ht="27" customHeight="1" x14ac:dyDescent="0.4">
      <c r="A59" s="208" t="s">
        <v>67</v>
      </c>
      <c r="B59" s="209">
        <v>100</v>
      </c>
      <c r="C59" s="186"/>
      <c r="D59" s="266" t="s">
        <v>68</v>
      </c>
      <c r="E59" s="267" t="s">
        <v>40</v>
      </c>
      <c r="F59" s="267" t="s">
        <v>41</v>
      </c>
      <c r="G59" s="267" t="s">
        <v>69</v>
      </c>
      <c r="H59" s="212" t="s">
        <v>70</v>
      </c>
      <c r="L59" s="198"/>
    </row>
    <row r="60" spans="1:12" s="2" customFormat="1" ht="26.25" customHeight="1" x14ac:dyDescent="0.4">
      <c r="A60" s="210" t="s">
        <v>71</v>
      </c>
      <c r="B60" s="211">
        <v>5</v>
      </c>
      <c r="C60" s="486" t="s">
        <v>72</v>
      </c>
      <c r="D60" s="489">
        <v>176.37</v>
      </c>
      <c r="E60" s="268">
        <v>1</v>
      </c>
      <c r="F60" s="269">
        <v>53752402</v>
      </c>
      <c r="G60" s="355">
        <f>IF(ISBLANK(F60),"-",(F60/$D$50*$D$47*$B$68)*($B$57/$D$60))</f>
        <v>280.56668240280237</v>
      </c>
      <c r="H60" s="270">
        <f t="shared" ref="H60:H71" si="0">IF(ISBLANK(F60),"-",G60/$B$56)</f>
        <v>0.93522227467600794</v>
      </c>
      <c r="L60" s="198"/>
    </row>
    <row r="61" spans="1:12" s="2" customFormat="1" ht="26.25" customHeight="1" x14ac:dyDescent="0.4">
      <c r="A61" s="210" t="s">
        <v>73</v>
      </c>
      <c r="B61" s="211">
        <v>25</v>
      </c>
      <c r="C61" s="487"/>
      <c r="D61" s="490"/>
      <c r="E61" s="271">
        <v>2</v>
      </c>
      <c r="F61" s="223">
        <v>54299487</v>
      </c>
      <c r="G61" s="356">
        <f>IF(ISBLANK(F61),"-",(F61/$D$50*$D$47*$B$68)*($B$57/$D$60))</f>
        <v>283.42225383275144</v>
      </c>
      <c r="H61" s="272">
        <f t="shared" si="0"/>
        <v>0.94474084610917142</v>
      </c>
      <c r="L61" s="198"/>
    </row>
    <row r="62" spans="1:12" s="2" customFormat="1" ht="26.25" customHeight="1" x14ac:dyDescent="0.4">
      <c r="A62" s="210" t="s">
        <v>74</v>
      </c>
      <c r="B62" s="211">
        <v>1</v>
      </c>
      <c r="C62" s="487"/>
      <c r="D62" s="490"/>
      <c r="E62" s="271">
        <v>3</v>
      </c>
      <c r="F62" s="273">
        <v>54145892</v>
      </c>
      <c r="G62" s="356">
        <f>IF(ISBLANK(F62),"-",(F62/$D$50*$D$47*$B$68)*($B$57/$D$60))</f>
        <v>282.62054752791209</v>
      </c>
      <c r="H62" s="272">
        <f t="shared" si="0"/>
        <v>0.94206849175970697</v>
      </c>
      <c r="L62" s="198"/>
    </row>
    <row r="63" spans="1:12" ht="27" customHeight="1" x14ac:dyDescent="0.4">
      <c r="A63" s="210" t="s">
        <v>75</v>
      </c>
      <c r="B63" s="211">
        <v>1</v>
      </c>
      <c r="C63" s="497"/>
      <c r="D63" s="491"/>
      <c r="E63" s="274">
        <v>4</v>
      </c>
      <c r="F63" s="275"/>
      <c r="G63" s="356" t="str">
        <f>IF(ISBLANK(F63),"-",(F63/$D$50*$D$47*$B$68)*($B$57/$D$60))</f>
        <v>-</v>
      </c>
      <c r="H63" s="272" t="str">
        <f t="shared" si="0"/>
        <v>-</v>
      </c>
    </row>
    <row r="64" spans="1:12" ht="26.25" customHeight="1" x14ac:dyDescent="0.4">
      <c r="A64" s="210" t="s">
        <v>76</v>
      </c>
      <c r="B64" s="211">
        <v>1</v>
      </c>
      <c r="C64" s="486" t="s">
        <v>77</v>
      </c>
      <c r="D64" s="489">
        <v>175.93</v>
      </c>
      <c r="E64" s="268">
        <v>1</v>
      </c>
      <c r="F64" s="269">
        <v>52686013</v>
      </c>
      <c r="G64" s="357">
        <f>IF(ISBLANK(F64),"-",(F64/$D$50*$D$47*$B$68)*($B$57/$D$64))</f>
        <v>275.68832049462094</v>
      </c>
      <c r="H64" s="276">
        <f t="shared" si="0"/>
        <v>0.91896106831540314</v>
      </c>
    </row>
    <row r="65" spans="1:8" ht="26.25" customHeight="1" x14ac:dyDescent="0.4">
      <c r="A65" s="210" t="s">
        <v>78</v>
      </c>
      <c r="B65" s="211">
        <v>1</v>
      </c>
      <c r="C65" s="487"/>
      <c r="D65" s="490"/>
      <c r="E65" s="271">
        <v>2</v>
      </c>
      <c r="F65" s="223">
        <v>53741224</v>
      </c>
      <c r="G65" s="358">
        <f>IF(ISBLANK(F65),"-",(F65/$D$50*$D$47*$B$68)*($B$57/$D$64))</f>
        <v>281.20988744935426</v>
      </c>
      <c r="H65" s="277">
        <f t="shared" si="0"/>
        <v>0.93736629149784756</v>
      </c>
    </row>
    <row r="66" spans="1:8" ht="26.25" customHeight="1" x14ac:dyDescent="0.4">
      <c r="A66" s="210" t="s">
        <v>79</v>
      </c>
      <c r="B66" s="211">
        <v>1</v>
      </c>
      <c r="C66" s="487"/>
      <c r="D66" s="490"/>
      <c r="E66" s="271">
        <v>3</v>
      </c>
      <c r="F66" s="223">
        <v>53730055</v>
      </c>
      <c r="G66" s="358">
        <f>IF(ISBLANK(F66),"-",(F66/$D$50*$D$47*$B$68)*($B$57/$D$64))</f>
        <v>281.15144380034241</v>
      </c>
      <c r="H66" s="277">
        <f t="shared" si="0"/>
        <v>0.93717147933447464</v>
      </c>
    </row>
    <row r="67" spans="1:8" ht="27" customHeight="1" x14ac:dyDescent="0.4">
      <c r="A67" s="210" t="s">
        <v>80</v>
      </c>
      <c r="B67" s="211">
        <v>1</v>
      </c>
      <c r="C67" s="497"/>
      <c r="D67" s="491"/>
      <c r="E67" s="274">
        <v>4</v>
      </c>
      <c r="F67" s="275"/>
      <c r="G67" s="359" t="str">
        <f>IF(ISBLANK(F67),"-",(F67/$D$50*$D$47*$B$68)*($B$57/$D$64))</f>
        <v>-</v>
      </c>
      <c r="H67" s="278" t="str">
        <f t="shared" si="0"/>
        <v>-</v>
      </c>
    </row>
    <row r="68" spans="1:8" ht="26.25" customHeight="1" x14ac:dyDescent="0.4">
      <c r="A68" s="210" t="s">
        <v>81</v>
      </c>
      <c r="B68" s="279">
        <f>(B67/B66)*(B65/B64)*(B63/B62)*(B61/B60)*B59</f>
        <v>500</v>
      </c>
      <c r="C68" s="486" t="s">
        <v>82</v>
      </c>
      <c r="D68" s="489">
        <v>177.75</v>
      </c>
      <c r="E68" s="268">
        <v>1</v>
      </c>
      <c r="F68" s="269">
        <v>53431757</v>
      </c>
      <c r="G68" s="357">
        <f>IF(ISBLANK(F68),"-",(F68/$D$50*$D$47*$B$68)*($B$57/$D$68))</f>
        <v>276.72779437174415</v>
      </c>
      <c r="H68" s="272">
        <f t="shared" si="0"/>
        <v>0.92242598123914721</v>
      </c>
    </row>
    <row r="69" spans="1:8" ht="27" customHeight="1" x14ac:dyDescent="0.4">
      <c r="A69" s="258" t="s">
        <v>83</v>
      </c>
      <c r="B69" s="280">
        <f>(D47*B68)/B56*B57</f>
        <v>175.5025</v>
      </c>
      <c r="C69" s="487"/>
      <c r="D69" s="490"/>
      <c r="E69" s="271">
        <v>2</v>
      </c>
      <c r="F69" s="223">
        <v>54854845</v>
      </c>
      <c r="G69" s="358">
        <f>IF(ISBLANK(F69),"-",(F69/$D$50*$D$47*$B$68)*($B$57/$D$68))</f>
        <v>284.09809296471195</v>
      </c>
      <c r="H69" s="272">
        <f t="shared" si="0"/>
        <v>0.94699364321570656</v>
      </c>
    </row>
    <row r="70" spans="1:8" ht="26.25" customHeight="1" x14ac:dyDescent="0.4">
      <c r="A70" s="492" t="s">
        <v>56</v>
      </c>
      <c r="B70" s="493"/>
      <c r="C70" s="487"/>
      <c r="D70" s="490"/>
      <c r="E70" s="271">
        <v>3</v>
      </c>
      <c r="F70" s="223">
        <v>54945180</v>
      </c>
      <c r="G70" s="358">
        <f>IF(ISBLANK(F70),"-",(F70/$D$50*$D$47*$B$68)*($B$57/$D$68))</f>
        <v>284.56594591786433</v>
      </c>
      <c r="H70" s="272">
        <f t="shared" si="0"/>
        <v>0.94855315305954779</v>
      </c>
    </row>
    <row r="71" spans="1:8" ht="27" customHeight="1" x14ac:dyDescent="0.4">
      <c r="A71" s="494"/>
      <c r="B71" s="495"/>
      <c r="C71" s="488"/>
      <c r="D71" s="491"/>
      <c r="E71" s="274">
        <v>4</v>
      </c>
      <c r="F71" s="275"/>
      <c r="G71" s="359" t="str">
        <f>IF(ISBLANK(F71),"-",(F71/$D$50*$D$47*$B$68)*($B$57/$D$68))</f>
        <v>-</v>
      </c>
      <c r="H71" s="281" t="str">
        <f t="shared" si="0"/>
        <v>-</v>
      </c>
    </row>
    <row r="72" spans="1:8" ht="26.25" customHeight="1" x14ac:dyDescent="0.4">
      <c r="A72" s="282"/>
      <c r="B72" s="282"/>
      <c r="C72" s="282"/>
      <c r="D72" s="282"/>
      <c r="E72" s="282"/>
      <c r="F72" s="284" t="s">
        <v>49</v>
      </c>
      <c r="G72" s="364">
        <f>AVERAGE(G60:G71)</f>
        <v>281.11677430690042</v>
      </c>
      <c r="H72" s="285">
        <f>AVERAGE(H60:H71)</f>
        <v>0.93705591435633473</v>
      </c>
    </row>
    <row r="73" spans="1:8" ht="26.25" customHeight="1" x14ac:dyDescent="0.4">
      <c r="C73" s="282"/>
      <c r="D73" s="282"/>
      <c r="E73" s="282"/>
      <c r="F73" s="286" t="s">
        <v>62</v>
      </c>
      <c r="G73" s="360">
        <f>STDEV(G60:G71)/G72</f>
        <v>1.1065058618083086E-2</v>
      </c>
      <c r="H73" s="360">
        <f>STDEV(H60:H71)/H72</f>
        <v>1.1065058618083084E-2</v>
      </c>
    </row>
    <row r="74" spans="1:8" ht="27" customHeight="1" x14ac:dyDescent="0.4">
      <c r="A74" s="282"/>
      <c r="B74" s="282"/>
      <c r="C74" s="283"/>
      <c r="D74" s="283"/>
      <c r="E74" s="287"/>
      <c r="F74" s="288" t="s">
        <v>3</v>
      </c>
      <c r="G74" s="289">
        <f>COUNT(G60:G71)</f>
        <v>9</v>
      </c>
      <c r="H74" s="289">
        <f>COUNT(H60:H71)</f>
        <v>9</v>
      </c>
    </row>
    <row r="76" spans="1:8" ht="26.25" customHeight="1" x14ac:dyDescent="0.4">
      <c r="A76" s="194" t="s">
        <v>84</v>
      </c>
      <c r="B76" s="290" t="s">
        <v>85</v>
      </c>
      <c r="C76" s="473" t="str">
        <f>B20</f>
        <v>Tenofovir Disoproxil Fumarate</v>
      </c>
      <c r="D76" s="473"/>
      <c r="E76" s="291" t="s">
        <v>86</v>
      </c>
      <c r="F76" s="291"/>
      <c r="G76" s="292">
        <f>H72</f>
        <v>0.93705591435633473</v>
      </c>
      <c r="H76" s="293"/>
    </row>
    <row r="77" spans="1:8" ht="18.75" x14ac:dyDescent="0.3">
      <c r="A77" s="193" t="s">
        <v>87</v>
      </c>
      <c r="B77" s="193" t="s">
        <v>88</v>
      </c>
    </row>
    <row r="78" spans="1:8" ht="18.75" x14ac:dyDescent="0.3">
      <c r="A78" s="193"/>
      <c r="B78" s="193"/>
    </row>
    <row r="79" spans="1:8" ht="26.25" customHeight="1" x14ac:dyDescent="0.4">
      <c r="A79" s="194" t="s">
        <v>1</v>
      </c>
      <c r="B79" s="496" t="str">
        <f>B26</f>
        <v>Tenofovir Disoproxil Fumarate</v>
      </c>
      <c r="C79" s="496"/>
    </row>
    <row r="80" spans="1:8" ht="26.25" customHeight="1" x14ac:dyDescent="0.4">
      <c r="A80" s="195" t="s">
        <v>26</v>
      </c>
      <c r="B80" s="496" t="str">
        <f>B27</f>
        <v>T11-8</v>
      </c>
      <c r="C80" s="496"/>
    </row>
    <row r="81" spans="1:12" ht="27" customHeight="1" x14ac:dyDescent="0.4">
      <c r="A81" s="195" t="s">
        <v>2</v>
      </c>
      <c r="B81" s="294">
        <f>B28</f>
        <v>98.8</v>
      </c>
    </row>
    <row r="82" spans="1:12" s="2" customFormat="1" ht="27" customHeight="1" x14ac:dyDescent="0.4">
      <c r="A82" s="195" t="s">
        <v>27</v>
      </c>
      <c r="B82" s="197">
        <v>0</v>
      </c>
      <c r="C82" s="475" t="s">
        <v>28</v>
      </c>
      <c r="D82" s="476"/>
      <c r="E82" s="476"/>
      <c r="F82" s="476"/>
      <c r="G82" s="477"/>
      <c r="I82" s="198"/>
      <c r="J82" s="198"/>
      <c r="K82" s="198"/>
      <c r="L82" s="198"/>
    </row>
    <row r="83" spans="1:12" s="2" customFormat="1" ht="19.5" customHeight="1" x14ac:dyDescent="0.3">
      <c r="A83" s="195" t="s">
        <v>29</v>
      </c>
      <c r="B83" s="199">
        <f>B81-B82</f>
        <v>98.8</v>
      </c>
      <c r="C83" s="200"/>
      <c r="D83" s="200"/>
      <c r="E83" s="200"/>
      <c r="F83" s="200"/>
      <c r="G83" s="201"/>
      <c r="I83" s="198"/>
      <c r="J83" s="198"/>
      <c r="K83" s="198"/>
      <c r="L83" s="198"/>
    </row>
    <row r="84" spans="1:12" s="2" customFormat="1" ht="27" customHeight="1" x14ac:dyDescent="0.4">
      <c r="A84" s="195" t="s">
        <v>30</v>
      </c>
      <c r="B84" s="202">
        <v>1</v>
      </c>
      <c r="C84" s="478" t="s">
        <v>89</v>
      </c>
      <c r="D84" s="479"/>
      <c r="E84" s="479"/>
      <c r="F84" s="479"/>
      <c r="G84" s="479"/>
      <c r="H84" s="480"/>
      <c r="I84" s="198"/>
      <c r="J84" s="198"/>
      <c r="K84" s="198"/>
      <c r="L84" s="198"/>
    </row>
    <row r="85" spans="1:12" s="2" customFormat="1" ht="27" customHeight="1" x14ac:dyDescent="0.4">
      <c r="A85" s="195" t="s">
        <v>32</v>
      </c>
      <c r="B85" s="202">
        <v>1</v>
      </c>
      <c r="C85" s="478" t="s">
        <v>90</v>
      </c>
      <c r="D85" s="479"/>
      <c r="E85" s="479"/>
      <c r="F85" s="479"/>
      <c r="G85" s="479"/>
      <c r="H85" s="480"/>
      <c r="I85" s="198"/>
      <c r="J85" s="198"/>
      <c r="K85" s="198"/>
      <c r="L85" s="198"/>
    </row>
    <row r="86" spans="1:12" s="2" customFormat="1" ht="18.75" x14ac:dyDescent="0.3">
      <c r="A86" s="195"/>
      <c r="B86" s="205"/>
      <c r="C86" s="206"/>
      <c r="D86" s="206"/>
      <c r="E86" s="206"/>
      <c r="F86" s="206"/>
      <c r="G86" s="206"/>
      <c r="H86" s="206"/>
      <c r="I86" s="198"/>
      <c r="J86" s="198"/>
      <c r="K86" s="198"/>
      <c r="L86" s="198"/>
    </row>
    <row r="87" spans="1:12" s="2" customFormat="1" ht="18.75" x14ac:dyDescent="0.3">
      <c r="A87" s="195" t="s">
        <v>34</v>
      </c>
      <c r="B87" s="207">
        <f>B84/B85</f>
        <v>1</v>
      </c>
      <c r="C87" s="186" t="s">
        <v>35</v>
      </c>
      <c r="D87" s="186"/>
      <c r="E87" s="186"/>
      <c r="F87" s="186"/>
      <c r="G87" s="186"/>
      <c r="I87" s="198"/>
      <c r="J87" s="198"/>
      <c r="K87" s="198"/>
      <c r="L87" s="198"/>
    </row>
    <row r="88" spans="1:12" ht="19.5" customHeight="1" x14ac:dyDescent="0.3">
      <c r="A88" s="193"/>
      <c r="B88" s="193"/>
    </row>
    <row r="89" spans="1:12" ht="27" customHeight="1" x14ac:dyDescent="0.4">
      <c r="A89" s="208" t="s">
        <v>36</v>
      </c>
      <c r="B89" s="209">
        <v>25</v>
      </c>
      <c r="D89" s="295" t="s">
        <v>37</v>
      </c>
      <c r="E89" s="296"/>
      <c r="F89" s="481" t="s">
        <v>38</v>
      </c>
      <c r="G89" s="482"/>
    </row>
    <row r="90" spans="1:12" ht="27" customHeight="1" x14ac:dyDescent="0.4">
      <c r="A90" s="210" t="s">
        <v>39</v>
      </c>
      <c r="B90" s="211">
        <v>10</v>
      </c>
      <c r="C90" s="297" t="s">
        <v>40</v>
      </c>
      <c r="D90" s="213" t="s">
        <v>41</v>
      </c>
      <c r="E90" s="214" t="s">
        <v>42</v>
      </c>
      <c r="F90" s="213" t="s">
        <v>41</v>
      </c>
      <c r="G90" s="298" t="s">
        <v>42</v>
      </c>
      <c r="I90" s="216" t="s">
        <v>43</v>
      </c>
    </row>
    <row r="91" spans="1:12" ht="26.25" customHeight="1" x14ac:dyDescent="0.4">
      <c r="A91" s="210" t="s">
        <v>44</v>
      </c>
      <c r="B91" s="211">
        <v>25</v>
      </c>
      <c r="C91" s="299">
        <v>1</v>
      </c>
      <c r="D91" s="218">
        <v>187567235</v>
      </c>
      <c r="E91" s="219">
        <f>IF(ISBLANK(D91),"-",$D$101/$D$98*D91)</f>
        <v>186386054.38526535</v>
      </c>
      <c r="F91" s="218">
        <v>182816947</v>
      </c>
      <c r="G91" s="220">
        <f>IF(ISBLANK(F91),"-",$D$101/$F$98*F91)</f>
        <v>187042491.25524408</v>
      </c>
      <c r="I91" s="221"/>
    </row>
    <row r="92" spans="1:12" ht="26.25" customHeight="1" x14ac:dyDescent="0.4">
      <c r="A92" s="210" t="s">
        <v>45</v>
      </c>
      <c r="B92" s="211">
        <v>1</v>
      </c>
      <c r="C92" s="283">
        <v>2</v>
      </c>
      <c r="D92" s="223">
        <v>187437200</v>
      </c>
      <c r="E92" s="224">
        <f>IF(ISBLANK(D92),"-",$D$101/$D$98*D92)</f>
        <v>186256838.26400629</v>
      </c>
      <c r="F92" s="223">
        <v>182975573</v>
      </c>
      <c r="G92" s="225">
        <f>IF(ISBLANK(F92),"-",$D$101/$F$98*F92)</f>
        <v>187204783.66141719</v>
      </c>
      <c r="I92" s="483">
        <f>ABS((F96/D96*D95)-F95)/D95</f>
        <v>3.9757973761112165E-3</v>
      </c>
    </row>
    <row r="93" spans="1:12" ht="26.25" customHeight="1" x14ac:dyDescent="0.4">
      <c r="A93" s="210" t="s">
        <v>46</v>
      </c>
      <c r="B93" s="211">
        <v>1</v>
      </c>
      <c r="C93" s="283">
        <v>3</v>
      </c>
      <c r="D93" s="223">
        <v>187465696</v>
      </c>
      <c r="E93" s="224">
        <f>IF(ISBLANK(D93),"-",$D$101/$D$98*D93)</f>
        <v>186285154.81409973</v>
      </c>
      <c r="F93" s="223">
        <v>182744850</v>
      </c>
      <c r="G93" s="225">
        <f>IF(ISBLANK(F93),"-",$D$101/$F$98*F93)</f>
        <v>186968727.83936104</v>
      </c>
      <c r="I93" s="483"/>
    </row>
    <row r="94" spans="1:12" ht="27" customHeight="1" x14ac:dyDescent="0.4">
      <c r="A94" s="210" t="s">
        <v>47</v>
      </c>
      <c r="B94" s="211">
        <v>1</v>
      </c>
      <c r="C94" s="300">
        <v>4</v>
      </c>
      <c r="D94" s="228"/>
      <c r="E94" s="229" t="str">
        <f>IF(ISBLANK(D94),"-",$D$101/$D$98*D94)</f>
        <v>-</v>
      </c>
      <c r="F94" s="301"/>
      <c r="G94" s="230" t="str">
        <f>IF(ISBLANK(F94),"-",$D$101/$F$98*F94)</f>
        <v>-</v>
      </c>
      <c r="I94" s="231"/>
    </row>
    <row r="95" spans="1:12" ht="27" customHeight="1" x14ac:dyDescent="0.4">
      <c r="A95" s="210" t="s">
        <v>48</v>
      </c>
      <c r="B95" s="211">
        <v>1</v>
      </c>
      <c r="C95" s="302" t="s">
        <v>49</v>
      </c>
      <c r="D95" s="303">
        <f>AVERAGE(D91:D94)</f>
        <v>187490043.66666666</v>
      </c>
      <c r="E95" s="234">
        <f>AVERAGE(E91:E94)</f>
        <v>186309349.15445709</v>
      </c>
      <c r="F95" s="304">
        <f>AVERAGE(F91:F94)</f>
        <v>182845790</v>
      </c>
      <c r="G95" s="305">
        <f>AVERAGE(G91:G94)</f>
        <v>187072000.91867411</v>
      </c>
    </row>
    <row r="96" spans="1:12" ht="26.25" customHeight="1" x14ac:dyDescent="0.4">
      <c r="A96" s="210" t="s">
        <v>50</v>
      </c>
      <c r="B96" s="196">
        <v>1</v>
      </c>
      <c r="C96" s="306" t="s">
        <v>91</v>
      </c>
      <c r="D96" s="307">
        <v>21.22</v>
      </c>
      <c r="E96" s="226"/>
      <c r="F96" s="238">
        <v>20.61</v>
      </c>
    </row>
    <row r="97" spans="1:10" ht="26.25" customHeight="1" x14ac:dyDescent="0.4">
      <c r="A97" s="210" t="s">
        <v>52</v>
      </c>
      <c r="B97" s="196">
        <v>1</v>
      </c>
      <c r="C97" s="308" t="s">
        <v>92</v>
      </c>
      <c r="D97" s="309">
        <f>D96*$B$87</f>
        <v>21.22</v>
      </c>
      <c r="E97" s="241"/>
      <c r="F97" s="240">
        <f>F96*$B$87</f>
        <v>20.61</v>
      </c>
    </row>
    <row r="98" spans="1:10" ht="19.5" customHeight="1" x14ac:dyDescent="0.3">
      <c r="A98" s="210" t="s">
        <v>54</v>
      </c>
      <c r="B98" s="310">
        <f>(B97/B96)*(B95/B94)*(B93/B92)*(B91/B90)*B89</f>
        <v>62.5</v>
      </c>
      <c r="C98" s="308" t="s">
        <v>93</v>
      </c>
      <c r="D98" s="311">
        <f>D97*$B$83/100</f>
        <v>20.965359999999997</v>
      </c>
      <c r="E98" s="244"/>
      <c r="F98" s="243">
        <f>F97*$B$83/100</f>
        <v>20.362679999999997</v>
      </c>
    </row>
    <row r="99" spans="1:10" ht="19.5" customHeight="1" x14ac:dyDescent="0.3">
      <c r="A99" s="469" t="s">
        <v>56</v>
      </c>
      <c r="B99" s="484"/>
      <c r="C99" s="308" t="s">
        <v>94</v>
      </c>
      <c r="D99" s="312">
        <f>D98/$B$98</f>
        <v>0.33544575999999993</v>
      </c>
      <c r="E99" s="244"/>
      <c r="F99" s="247">
        <f>F98/$B$98</f>
        <v>0.32580287999999996</v>
      </c>
      <c r="G99" s="313"/>
      <c r="H99" s="236"/>
    </row>
    <row r="100" spans="1:10" ht="19.5" customHeight="1" x14ac:dyDescent="0.3">
      <c r="A100" s="471"/>
      <c r="B100" s="485"/>
      <c r="C100" s="308" t="s">
        <v>58</v>
      </c>
      <c r="D100" s="314">
        <f>$B$56/$B$116</f>
        <v>0.33333333333333331</v>
      </c>
      <c r="F100" s="252"/>
      <c r="G100" s="315"/>
      <c r="H100" s="236"/>
    </row>
    <row r="101" spans="1:10" ht="18.75" x14ac:dyDescent="0.3">
      <c r="C101" s="308" t="s">
        <v>59</v>
      </c>
      <c r="D101" s="309">
        <f>D100*$B$98</f>
        <v>20.833333333333332</v>
      </c>
      <c r="F101" s="252"/>
      <c r="G101" s="313"/>
      <c r="H101" s="236"/>
    </row>
    <row r="102" spans="1:10" ht="19.5" customHeight="1" x14ac:dyDescent="0.3">
      <c r="C102" s="316" t="s">
        <v>60</v>
      </c>
      <c r="D102" s="317">
        <f>D101/B34</f>
        <v>20.833333333333332</v>
      </c>
      <c r="F102" s="256"/>
      <c r="G102" s="313"/>
      <c r="H102" s="236"/>
      <c r="J102" s="318"/>
    </row>
    <row r="103" spans="1:10" ht="18.75" x14ac:dyDescent="0.3">
      <c r="C103" s="319" t="s">
        <v>95</v>
      </c>
      <c r="D103" s="320">
        <f>AVERAGE(E91:E94,G91:G94)</f>
        <v>186690675.03656557</v>
      </c>
      <c r="F103" s="256"/>
      <c r="G103" s="321"/>
      <c r="H103" s="236"/>
      <c r="J103" s="322"/>
    </row>
    <row r="104" spans="1:10" ht="18.75" x14ac:dyDescent="0.3">
      <c r="C104" s="286" t="s">
        <v>62</v>
      </c>
      <c r="D104" s="323">
        <f>STDEV(E91:E94,G91:G94)/D103</f>
        <v>2.2862088691848123E-3</v>
      </c>
      <c r="F104" s="256"/>
      <c r="G104" s="313"/>
      <c r="H104" s="236"/>
      <c r="J104" s="322"/>
    </row>
    <row r="105" spans="1:10" ht="19.5" customHeight="1" x14ac:dyDescent="0.3">
      <c r="C105" s="288" t="s">
        <v>3</v>
      </c>
      <c r="D105" s="324">
        <f>COUNT(E91:E94,G91:G94)</f>
        <v>6</v>
      </c>
      <c r="F105" s="256"/>
      <c r="G105" s="313"/>
      <c r="H105" s="236"/>
      <c r="J105" s="322"/>
    </row>
    <row r="106" spans="1:10" ht="19.5" customHeight="1" x14ac:dyDescent="0.3">
      <c r="A106" s="260"/>
      <c r="B106" s="260"/>
      <c r="C106" s="260"/>
      <c r="D106" s="260"/>
      <c r="E106" s="260"/>
    </row>
    <row r="107" spans="1:10" ht="26.25" customHeight="1" x14ac:dyDescent="0.4">
      <c r="A107" s="208" t="s">
        <v>96</v>
      </c>
      <c r="B107" s="209">
        <v>900</v>
      </c>
      <c r="C107" s="325" t="s">
        <v>97</v>
      </c>
      <c r="D107" s="326" t="s">
        <v>41</v>
      </c>
      <c r="E107" s="327" t="s">
        <v>98</v>
      </c>
      <c r="F107" s="328" t="s">
        <v>99</v>
      </c>
    </row>
    <row r="108" spans="1:10" ht="26.25" customHeight="1" x14ac:dyDescent="0.4">
      <c r="A108" s="210" t="s">
        <v>100</v>
      </c>
      <c r="B108" s="211">
        <v>1</v>
      </c>
      <c r="C108" s="329">
        <v>1</v>
      </c>
      <c r="D108" s="330">
        <v>180383164</v>
      </c>
      <c r="E108" s="361">
        <f t="shared" ref="E108:E113" si="1">IF(ISBLANK(D108),"-",D108/$D$103*$D$100*$B$116)</f>
        <v>289.86423231583979</v>
      </c>
      <c r="F108" s="331">
        <f t="shared" ref="F108:F113" si="2">IF(ISBLANK(D108), "-", E108/$B$56)</f>
        <v>0.96621410771946592</v>
      </c>
    </row>
    <row r="109" spans="1:10" ht="26.25" customHeight="1" x14ac:dyDescent="0.4">
      <c r="A109" s="210" t="s">
        <v>73</v>
      </c>
      <c r="B109" s="211">
        <v>1</v>
      </c>
      <c r="C109" s="329">
        <v>2</v>
      </c>
      <c r="D109" s="330">
        <v>177682831</v>
      </c>
      <c r="E109" s="362">
        <f t="shared" si="1"/>
        <v>285.52496952276601</v>
      </c>
      <c r="F109" s="332">
        <f t="shared" si="2"/>
        <v>0.95174989840922009</v>
      </c>
    </row>
    <row r="110" spans="1:10" ht="26.25" customHeight="1" x14ac:dyDescent="0.4">
      <c r="A110" s="210" t="s">
        <v>74</v>
      </c>
      <c r="B110" s="211">
        <v>1</v>
      </c>
      <c r="C110" s="329">
        <v>3</v>
      </c>
      <c r="D110" s="330">
        <v>179270626</v>
      </c>
      <c r="E110" s="362">
        <f t="shared" si="1"/>
        <v>288.07645475311671</v>
      </c>
      <c r="F110" s="332">
        <f t="shared" si="2"/>
        <v>0.96025484917705572</v>
      </c>
    </row>
    <row r="111" spans="1:10" ht="26.25" customHeight="1" x14ac:dyDescent="0.4">
      <c r="A111" s="210" t="s">
        <v>75</v>
      </c>
      <c r="B111" s="211">
        <v>1</v>
      </c>
      <c r="C111" s="329">
        <v>4</v>
      </c>
      <c r="D111" s="330">
        <v>178754231</v>
      </c>
      <c r="E111" s="362">
        <f t="shared" si="1"/>
        <v>287.24664094495699</v>
      </c>
      <c r="F111" s="332">
        <f t="shared" si="2"/>
        <v>0.95748880314985663</v>
      </c>
    </row>
    <row r="112" spans="1:10" ht="26.25" customHeight="1" x14ac:dyDescent="0.4">
      <c r="A112" s="210" t="s">
        <v>76</v>
      </c>
      <c r="B112" s="211">
        <v>1</v>
      </c>
      <c r="C112" s="329">
        <v>5</v>
      </c>
      <c r="D112" s="330">
        <v>179444564</v>
      </c>
      <c r="E112" s="362">
        <f t="shared" si="1"/>
        <v>288.35596201822125</v>
      </c>
      <c r="F112" s="332">
        <f t="shared" si="2"/>
        <v>0.96118654006073745</v>
      </c>
    </row>
    <row r="113" spans="1:10" ht="26.25" customHeight="1" x14ac:dyDescent="0.4">
      <c r="A113" s="210" t="s">
        <v>78</v>
      </c>
      <c r="B113" s="211">
        <v>1</v>
      </c>
      <c r="C113" s="333">
        <v>6</v>
      </c>
      <c r="D113" s="334">
        <v>179025889</v>
      </c>
      <c r="E113" s="363">
        <f t="shared" si="1"/>
        <v>287.68317801347445</v>
      </c>
      <c r="F113" s="335">
        <f t="shared" si="2"/>
        <v>0.95894392671158146</v>
      </c>
    </row>
    <row r="114" spans="1:10" ht="26.25" customHeight="1" x14ac:dyDescent="0.4">
      <c r="A114" s="210" t="s">
        <v>79</v>
      </c>
      <c r="B114" s="211">
        <v>1</v>
      </c>
      <c r="C114" s="329"/>
      <c r="D114" s="283"/>
      <c r="E114" s="185"/>
      <c r="F114" s="336"/>
    </row>
    <row r="115" spans="1:10" ht="26.25" customHeight="1" x14ac:dyDescent="0.4">
      <c r="A115" s="210" t="s">
        <v>80</v>
      </c>
      <c r="B115" s="211">
        <v>1</v>
      </c>
      <c r="C115" s="329"/>
      <c r="D115" s="337" t="s">
        <v>49</v>
      </c>
      <c r="E115" s="365">
        <f>AVERAGE(E108:E113)</f>
        <v>287.79190626139592</v>
      </c>
      <c r="F115" s="338">
        <f>AVERAGE(F108:F113)</f>
        <v>0.95930635420465293</v>
      </c>
    </row>
    <row r="116" spans="1:10" ht="27" customHeight="1" x14ac:dyDescent="0.4">
      <c r="A116" s="210" t="s">
        <v>81</v>
      </c>
      <c r="B116" s="242">
        <f>(B115/B114)*(B113/B112)*(B111/B110)*(B109/B108)*B107</f>
        <v>900</v>
      </c>
      <c r="C116" s="339"/>
      <c r="D116" s="302" t="s">
        <v>62</v>
      </c>
      <c r="E116" s="340">
        <f>STDEV(E108:E113)/E115</f>
        <v>4.9487321598231529E-3</v>
      </c>
      <c r="F116" s="340">
        <f>STDEV(F108:F113)/F115</f>
        <v>4.9487321598231304E-3</v>
      </c>
      <c r="I116" s="185"/>
    </row>
    <row r="117" spans="1:10" ht="27" customHeight="1" x14ac:dyDescent="0.4">
      <c r="A117" s="469" t="s">
        <v>56</v>
      </c>
      <c r="B117" s="470"/>
      <c r="C117" s="341"/>
      <c r="D117" s="342" t="s">
        <v>3</v>
      </c>
      <c r="E117" s="343">
        <f>COUNT(E108:E113)</f>
        <v>6</v>
      </c>
      <c r="F117" s="343">
        <f>COUNT(F108:F113)</f>
        <v>6</v>
      </c>
      <c r="I117" s="185"/>
      <c r="J117" s="322"/>
    </row>
    <row r="118" spans="1:10" ht="19.5" customHeight="1" x14ac:dyDescent="0.3">
      <c r="A118" s="471"/>
      <c r="B118" s="472"/>
      <c r="C118" s="185"/>
      <c r="D118" s="185"/>
      <c r="E118" s="185"/>
      <c r="F118" s="283"/>
      <c r="G118" s="185"/>
      <c r="H118" s="185"/>
      <c r="I118" s="185"/>
    </row>
    <row r="119" spans="1:10" ht="18.75" x14ac:dyDescent="0.3">
      <c r="A119" s="352"/>
      <c r="B119" s="206"/>
      <c r="C119" s="185"/>
      <c r="D119" s="185"/>
      <c r="E119" s="185"/>
      <c r="F119" s="283"/>
      <c r="G119" s="185"/>
      <c r="H119" s="185"/>
      <c r="I119" s="185"/>
    </row>
    <row r="120" spans="1:10" ht="26.25" customHeight="1" x14ac:dyDescent="0.4">
      <c r="A120" s="194" t="s">
        <v>84</v>
      </c>
      <c r="B120" s="290" t="s">
        <v>101</v>
      </c>
      <c r="C120" s="473" t="str">
        <f>B20</f>
        <v>Tenofovir Disoproxil Fumarate</v>
      </c>
      <c r="D120" s="473"/>
      <c r="E120" s="291" t="s">
        <v>102</v>
      </c>
      <c r="F120" s="291"/>
      <c r="G120" s="292">
        <f>F115</f>
        <v>0.95930635420465293</v>
      </c>
      <c r="H120" s="185"/>
      <c r="I120" s="185"/>
    </row>
    <row r="121" spans="1:10" ht="19.5" customHeight="1" x14ac:dyDescent="0.3">
      <c r="A121" s="344"/>
      <c r="B121" s="344"/>
      <c r="C121" s="345"/>
      <c r="D121" s="345"/>
      <c r="E121" s="345"/>
      <c r="F121" s="345"/>
      <c r="G121" s="345"/>
      <c r="H121" s="345"/>
    </row>
    <row r="122" spans="1:10" ht="18.75" x14ac:dyDescent="0.3">
      <c r="B122" s="474" t="s">
        <v>4</v>
      </c>
      <c r="C122" s="474"/>
      <c r="E122" s="297" t="s">
        <v>5</v>
      </c>
      <c r="F122" s="346"/>
      <c r="G122" s="474" t="s">
        <v>6</v>
      </c>
      <c r="H122" s="474"/>
    </row>
    <row r="123" spans="1:10" ht="69.95" customHeight="1" x14ac:dyDescent="0.3">
      <c r="A123" s="347" t="s">
        <v>7</v>
      </c>
      <c r="B123" s="348"/>
      <c r="C123" s="348"/>
      <c r="E123" s="348"/>
      <c r="F123" s="185"/>
      <c r="G123" s="349"/>
      <c r="H123" s="349"/>
    </row>
    <row r="124" spans="1:10" ht="69.95" customHeight="1" x14ac:dyDescent="0.3">
      <c r="A124" s="347" t="s">
        <v>8</v>
      </c>
      <c r="B124" s="350"/>
      <c r="C124" s="350"/>
      <c r="E124" s="350"/>
      <c r="F124" s="185"/>
      <c r="G124" s="351"/>
      <c r="H124" s="351"/>
    </row>
    <row r="125" spans="1:10" ht="18.75" x14ac:dyDescent="0.3">
      <c r="A125" s="282"/>
      <c r="B125" s="282"/>
      <c r="C125" s="283"/>
      <c r="D125" s="283"/>
      <c r="E125" s="283"/>
      <c r="F125" s="287"/>
      <c r="G125" s="283"/>
      <c r="H125" s="283"/>
      <c r="I125" s="185"/>
    </row>
    <row r="126" spans="1:10" ht="18.75" x14ac:dyDescent="0.3">
      <c r="A126" s="282"/>
      <c r="B126" s="282"/>
      <c r="C126" s="283"/>
      <c r="D126" s="283"/>
      <c r="E126" s="283"/>
      <c r="F126" s="287"/>
      <c r="G126" s="283"/>
      <c r="H126" s="283"/>
      <c r="I126" s="185"/>
    </row>
    <row r="127" spans="1:10" ht="18.75" x14ac:dyDescent="0.3">
      <c r="A127" s="282"/>
      <c r="B127" s="282"/>
      <c r="C127" s="283"/>
      <c r="D127" s="283"/>
      <c r="E127" s="283"/>
      <c r="F127" s="287"/>
      <c r="G127" s="283"/>
      <c r="H127" s="283"/>
      <c r="I127" s="185"/>
    </row>
    <row r="128" spans="1:10" ht="18.75" x14ac:dyDescent="0.3">
      <c r="A128" s="282"/>
      <c r="B128" s="282"/>
      <c r="C128" s="283"/>
      <c r="D128" s="283"/>
      <c r="E128" s="283"/>
      <c r="F128" s="287"/>
      <c r="G128" s="283"/>
      <c r="H128" s="283"/>
      <c r="I128" s="185"/>
    </row>
    <row r="129" spans="1:9" ht="18.75" x14ac:dyDescent="0.3">
      <c r="A129" s="282"/>
      <c r="B129" s="282"/>
      <c r="C129" s="283"/>
      <c r="D129" s="283"/>
      <c r="E129" s="283"/>
      <c r="F129" s="287"/>
      <c r="G129" s="283"/>
      <c r="H129" s="283"/>
      <c r="I129" s="185"/>
    </row>
    <row r="130" spans="1:9" ht="18.75" x14ac:dyDescent="0.3">
      <c r="A130" s="282"/>
      <c r="B130" s="282"/>
      <c r="C130" s="283"/>
      <c r="D130" s="283"/>
      <c r="E130" s="283"/>
      <c r="F130" s="287"/>
      <c r="G130" s="283"/>
      <c r="H130" s="283"/>
      <c r="I130" s="185"/>
    </row>
    <row r="131" spans="1:9" ht="18.75" x14ac:dyDescent="0.3">
      <c r="A131" s="282"/>
      <c r="B131" s="282"/>
      <c r="C131" s="283"/>
      <c r="D131" s="283"/>
      <c r="E131" s="283"/>
      <c r="F131" s="287"/>
      <c r="G131" s="283"/>
      <c r="H131" s="283"/>
      <c r="I131" s="185"/>
    </row>
    <row r="132" spans="1:9" ht="18.75" x14ac:dyDescent="0.3">
      <c r="A132" s="282"/>
      <c r="B132" s="282"/>
      <c r="C132" s="283"/>
      <c r="D132" s="283"/>
      <c r="E132" s="283"/>
      <c r="F132" s="287"/>
      <c r="G132" s="283"/>
      <c r="H132" s="283"/>
      <c r="I132" s="185"/>
    </row>
    <row r="133" spans="1:9" ht="18.75" x14ac:dyDescent="0.3">
      <c r="A133" s="282"/>
      <c r="B133" s="282"/>
      <c r="C133" s="283"/>
      <c r="D133" s="283"/>
      <c r="E133" s="283"/>
      <c r="F133" s="287"/>
      <c r="G133" s="283"/>
      <c r="H133" s="283"/>
      <c r="I133" s="185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3TC</vt:lpstr>
      <vt:lpstr>SST TDF</vt:lpstr>
      <vt:lpstr>Uniformity</vt:lpstr>
      <vt:lpstr>3TC</vt:lpstr>
      <vt:lpstr>TDF</vt:lpstr>
      <vt:lpstr>'3TC'!Print_Area</vt:lpstr>
      <vt:lpstr>'SST 3TC'!Print_Area</vt:lpstr>
      <vt:lpstr>TDF!Print_Area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2016-07-05T11:09:05Z</cp:lastPrinted>
  <dcterms:created xsi:type="dcterms:W3CDTF">2005-07-05T10:19:27Z</dcterms:created>
  <dcterms:modified xsi:type="dcterms:W3CDTF">2016-07-15T13:39:14Z</dcterms:modified>
</cp:coreProperties>
</file>