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25" windowWidth="20730" windowHeight="11445" activeTab="2"/>
  </bookViews>
  <sheets>
    <sheet name="SST (2)" sheetId="5" r:id="rId1"/>
    <sheet name="Nevirapine (2)" sheetId="4" r:id="rId2"/>
    <sheet name="Uniformity" sheetId="2" r:id="rId3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57" i="4"/>
  <c r="B53" i="5"/>
  <c r="E51"/>
  <c r="D51"/>
  <c r="C51"/>
  <c r="B51"/>
  <c r="B52" s="1"/>
  <c r="B32"/>
  <c r="E30"/>
  <c r="D30"/>
  <c r="C30"/>
  <c r="B30"/>
  <c r="B31" s="1"/>
  <c r="B21"/>
  <c r="C120" i="4"/>
  <c r="B116"/>
  <c r="D100"/>
  <c r="D101" s="1"/>
  <c r="B98"/>
  <c r="F95"/>
  <c r="D95"/>
  <c r="G94"/>
  <c r="E94"/>
  <c r="I92"/>
  <c r="B87"/>
  <c r="F97" s="1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I39" s="1"/>
  <c r="D42"/>
  <c r="G41"/>
  <c r="E41"/>
  <c r="B34"/>
  <c r="D44" s="1"/>
  <c r="D45" s="1"/>
  <c r="D46" s="1"/>
  <c r="B30"/>
  <c r="D102" l="1"/>
  <c r="F98"/>
  <c r="F99" s="1"/>
  <c r="D49"/>
  <c r="E40"/>
  <c r="E38"/>
  <c r="E39"/>
  <c r="F44"/>
  <c r="F45" s="1"/>
  <c r="F46" s="1"/>
  <c r="D97"/>
  <c r="D98" s="1"/>
  <c r="D99" s="1"/>
  <c r="D50" i="2"/>
  <c r="B49"/>
  <c r="C46"/>
  <c r="C50" s="1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E92" i="4" l="1"/>
  <c r="E93"/>
  <c r="E42"/>
  <c r="G39"/>
  <c r="G38"/>
  <c r="D52" s="1"/>
  <c r="G92"/>
  <c r="E91"/>
  <c r="G93"/>
  <c r="G40"/>
  <c r="G91"/>
  <c r="G95" s="1"/>
  <c r="C49" i="2"/>
  <c r="D49"/>
  <c r="G42" i="4" l="1"/>
  <c r="E95"/>
  <c r="D105"/>
  <c r="D103"/>
  <c r="D50"/>
  <c r="E112" l="1"/>
  <c r="F112" s="1"/>
  <c r="E110"/>
  <c r="F110" s="1"/>
  <c r="E108"/>
  <c r="E113"/>
  <c r="F113" s="1"/>
  <c r="E111"/>
  <c r="F111" s="1"/>
  <c r="E109"/>
  <c r="F109" s="1"/>
  <c r="D104"/>
  <c r="G68"/>
  <c r="H68" s="1"/>
  <c r="D51"/>
  <c r="G69"/>
  <c r="H69" s="1"/>
  <c r="G66"/>
  <c r="H66" s="1"/>
  <c r="G64"/>
  <c r="H64" s="1"/>
  <c r="G62"/>
  <c r="H62" s="1"/>
  <c r="G60"/>
  <c r="G70"/>
  <c r="H70" s="1"/>
  <c r="G65"/>
  <c r="H65" s="1"/>
  <c r="G61"/>
  <c r="H61" s="1"/>
  <c r="E115" l="1"/>
  <c r="E116" s="1"/>
  <c r="E117"/>
  <c r="F108"/>
  <c r="H60"/>
  <c r="G74"/>
  <c r="G72"/>
  <c r="G73" s="1"/>
  <c r="H74" l="1"/>
  <c r="H72"/>
  <c r="F117"/>
  <c r="F115"/>
  <c r="G120" l="1"/>
  <c r="F116"/>
  <c r="G76"/>
  <c r="H7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<sst xmlns="http://schemas.openxmlformats.org/spreadsheetml/2006/main" count="233" uniqueCount="128">
  <si>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</si>
  <si>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</si>
  <si>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</si>
  <si>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</si>
  <si>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</si>
  <si>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</si>
  <si>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</si>
  <si>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NDQB2016061154</t>
  </si>
  <si>
    <t>Weight (mg):</t>
  </si>
  <si>
    <t>Nevirapine USP</t>
  </si>
  <si>
    <t>Standard Conc (mg/mL):</t>
  </si>
  <si>
    <t>Each tablet contains: 200 mg of Nevirapine USP.</t>
  </si>
  <si>
    <t>2016-06-09 11:11:38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</si>
  <si>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</si>
  <si>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</si>
  <si>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</si>
  <si>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</si>
  <si>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</si>
  <si>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</si>
  <si>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</si>
  <si>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</si>
  <si>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</si>
  <si>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</si>
  <si>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</si>
  <si>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</si>
  <si>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</si>
  <si>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</si>
  <si>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</si>
  <si>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</si>
  <si>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</si>
  <si>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</si>
  <si>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</si>
  <si>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</si>
  <si>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</si>
  <si>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</si>
  <si>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</si>
  <si>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</si>
  <si>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</si>
  <si>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</si>
  <si>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</si>
  <si>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</si>
  <si>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</si>
  <si>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</si>
  <si>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</si>
  <si>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</si>
  <si>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</si>
  <si>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</si>
  <si>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</si>
  <si>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</si>
  <si>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</si>
  <si>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</si>
  <si>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</si>
  <si>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</si>
  <si>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</si>
  <si>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</si>
  <si>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</si>
  <si>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</si>
  <si>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</si>
  <si>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</si>
  <si>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</si>
  <si>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</si>
  <si>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</si>
  <si>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</si>
  <si>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</si>
  <si>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</si>
  <si>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</si>
  <si>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</si>
  <si>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</si>
  <si>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</si>
  <si>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</si>
  <si>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</si>
  <si>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</si>
  <si>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</si>
  <si>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</si>
  <si>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</si>
  <si>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</si>
  <si>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</si>
  <si>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</si>
  <si>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</si>
  <si>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</si>
  <si>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</si>
  <si>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</si>
  <si>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</si>
  <si>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</si>
  <si>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</si>
  <si>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</si>
  <si>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</si>
  <si>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</si>
  <si>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</si>
  <si>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</si>
  <si>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</si>
  <si>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</si>
  <si>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</si>
  <si>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</si>
  <si>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</si>
  <si>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</si>
  <si>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</si>
  <si>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</si>
  <si>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</si>
  <si>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</si>
  <si>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</si>
  <si>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</si>
  <si>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</si>
  <si>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</si>
  <si>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</si>
  <si>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</si>
  <si>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</si>
  <si>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</si>
  <si>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</si>
  <si>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</si>
  <si>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</si>
  <si>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</si>
  <si>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</si>
  <si>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</si>
  <si>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</si>
  <si>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</si>
  <si>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</si>
  <si>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</si>
  <si>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</si>
  <si>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</si>
  <si>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</si>
  <si>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</si>
  <si>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</si>
  <si>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</si>
  <si>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</si>
  <si>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</si>
  <si>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N1-4</t>
  </si>
  <si>
    <t>2016-06-09 11:05:09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</si>
</sst>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25" workbookViewId="0">
      <selection activeCell="B41" sqref="B41"/>
    </sheetView>
  </sheetViews>
  <sheetFormatPr defaultRowHeight="13.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>
      <c r="A14" s="214"/>
      <c r="C14" s="215"/>
      <c r="F14" s="215"/>
    </row>
    <row r="15" spans="1:6" ht="18.75" customHeight="1">
      <c r="A15" s="254" t="s">
        <v>0</v>
      </c>
      <c r="B15" s="254"/>
      <c r="C15" s="254"/>
      <c r="D15" s="254"/>
      <c r="E15" s="254"/>
    </row>
    <row r="16" spans="1:6" ht="16.5" customHeight="1">
      <c r="A16" s="216" t="s">
        <v>1</v>
      </c>
      <c r="B16" s="217" t="s">
        <v>2</v>
      </c>
    </row>
    <row r="17" spans="1:5" ht="16.5" customHeight="1">
      <c r="A17" s="218" t="s">
        <v>3</v>
      </c>
      <c r="B17" s="218" t="s">
        <v>5</v>
      </c>
      <c r="D17" s="219"/>
      <c r="E17" s="220"/>
    </row>
    <row r="18" spans="1:5" ht="16.5" customHeight="1">
      <c r="A18" s="221" t="s">
        <v>4</v>
      </c>
      <c r="B18" s="222" t="s">
        <v>7</v>
      </c>
      <c r="C18" s="220"/>
      <c r="D18" s="220"/>
      <c r="E18" s="220"/>
    </row>
    <row r="19" spans="1:5" ht="16.5" customHeight="1">
      <c r="A19" s="221" t="s">
        <v>6</v>
      </c>
      <c r="B19" s="48">
        <v>99.8</v>
      </c>
      <c r="C19" s="220"/>
      <c r="D19" s="220"/>
      <c r="E19" s="220"/>
    </row>
    <row r="20" spans="1:5" ht="16.5" customHeight="1">
      <c r="A20" s="218" t="s">
        <v>8</v>
      </c>
      <c r="B20" s="222">
        <v>17.28</v>
      </c>
      <c r="C20" s="220"/>
      <c r="D20" s="220"/>
      <c r="E20" s="220"/>
    </row>
    <row r="21" spans="1:5" ht="16.5" customHeight="1">
      <c r="A21" s="218" t="s">
        <v>10</v>
      </c>
      <c r="B21" s="223">
        <f>B20/50*3/50</f>
        <v>2.0735999999999997E-2</v>
      </c>
      <c r="C21" s="220"/>
      <c r="D21" s="220"/>
      <c r="E21" s="220"/>
    </row>
    <row r="22" spans="1:5" ht="15.75" customHeight="1">
      <c r="A22" s="220"/>
      <c r="B22" s="220" t="s">
        <v>127</v>
      </c>
      <c r="C22" s="220"/>
      <c r="D22" s="220"/>
      <c r="E22" s="220"/>
    </row>
    <row r="23" spans="1:5" ht="16.5" customHeight="1">
      <c r="A23" s="64" t="s">
        <v>13</v>
      </c>
      <c r="B23" s="224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>
      <c r="A24" s="225">
        <v>1</v>
      </c>
      <c r="B24" s="226">
        <v>304835723</v>
      </c>
      <c r="C24" s="226">
        <v>5553.89</v>
      </c>
      <c r="D24" s="227">
        <v>1.01</v>
      </c>
      <c r="E24" s="228">
        <v>8.43</v>
      </c>
    </row>
    <row r="25" spans="1:5" ht="16.5" customHeight="1">
      <c r="A25" s="225">
        <v>2</v>
      </c>
      <c r="B25" s="226">
        <v>307683796</v>
      </c>
      <c r="C25" s="226">
        <v>5515.43</v>
      </c>
      <c r="D25" s="227">
        <v>1.02</v>
      </c>
      <c r="E25" s="227">
        <v>8.43</v>
      </c>
    </row>
    <row r="26" spans="1:5" ht="16.5" customHeight="1">
      <c r="A26" s="225">
        <v>3</v>
      </c>
      <c r="B26" s="226">
        <v>307124602</v>
      </c>
      <c r="C26" s="226">
        <v>5497.34</v>
      </c>
      <c r="D26" s="227">
        <v>1.02</v>
      </c>
      <c r="E26" s="227">
        <v>8.43</v>
      </c>
    </row>
    <row r="27" spans="1:5" ht="16.5" customHeight="1">
      <c r="A27" s="225">
        <v>4</v>
      </c>
      <c r="B27" s="226">
        <v>308078838</v>
      </c>
      <c r="C27" s="226">
        <v>5447.13</v>
      </c>
      <c r="D27" s="227">
        <v>1.02</v>
      </c>
      <c r="E27" s="227">
        <v>8.43</v>
      </c>
    </row>
    <row r="28" spans="1:5" ht="16.5" customHeight="1">
      <c r="A28" s="225">
        <v>5</v>
      </c>
      <c r="B28" s="226">
        <v>305968606</v>
      </c>
      <c r="C28" s="226">
        <v>5440.37</v>
      </c>
      <c r="D28" s="227">
        <v>1.01</v>
      </c>
      <c r="E28" s="227">
        <v>8.43</v>
      </c>
    </row>
    <row r="29" spans="1:5" ht="16.5" customHeight="1">
      <c r="A29" s="225">
        <v>6</v>
      </c>
      <c r="B29" s="229">
        <v>305534025</v>
      </c>
      <c r="C29" s="229">
        <v>5406.43</v>
      </c>
      <c r="D29" s="230">
        <v>1.01</v>
      </c>
      <c r="E29" s="230">
        <v>8.43</v>
      </c>
    </row>
    <row r="30" spans="1:5" ht="16.5" customHeight="1">
      <c r="A30" s="231" t="s">
        <v>18</v>
      </c>
      <c r="B30" s="232">
        <f>AVERAGE(B24:B29)</f>
        <v>306537598.33333331</v>
      </c>
      <c r="C30" s="233">
        <f>AVERAGE(C24:C29)</f>
        <v>5476.7649999999994</v>
      </c>
      <c r="D30" s="234">
        <f>AVERAGE(D24:D29)</f>
        <v>1.0149999999999999</v>
      </c>
      <c r="E30" s="234">
        <f>AVERAGE(E24:E29)</f>
        <v>8.43</v>
      </c>
    </row>
    <row r="31" spans="1:5" ht="16.5" customHeight="1">
      <c r="A31" s="235" t="s">
        <v>19</v>
      </c>
      <c r="B31" s="236">
        <f>(STDEV(B24:B29)/B30)</f>
        <v>4.1932326998159368E-3</v>
      </c>
      <c r="C31" s="237"/>
      <c r="D31" s="237"/>
      <c r="E31" s="238"/>
    </row>
    <row r="32" spans="1:5" s="48" customFormat="1" ht="16.5" customHeight="1">
      <c r="A32" s="239" t="s">
        <v>20</v>
      </c>
      <c r="B32" s="240">
        <f>COUNT(B24:B29)</f>
        <v>6</v>
      </c>
      <c r="C32" s="241"/>
      <c r="D32" s="242"/>
      <c r="E32" s="243"/>
    </row>
    <row r="33" spans="1:5" s="48" customFormat="1" ht="15.75" customHeight="1">
      <c r="A33" s="220"/>
      <c r="B33" s="220"/>
      <c r="C33" s="220"/>
      <c r="D33" s="220"/>
      <c r="E33" s="220"/>
    </row>
    <row r="34" spans="1:5" s="48" customFormat="1" ht="16.5" customHeight="1">
      <c r="A34" s="221" t="s">
        <v>21</v>
      </c>
      <c r="B34" s="244" t="s">
        <v>22</v>
      </c>
      <c r="C34" s="245"/>
      <c r="D34" s="245"/>
      <c r="E34" s="245"/>
    </row>
    <row r="35" spans="1:5" ht="16.5" customHeight="1">
      <c r="A35" s="221"/>
      <c r="B35" s="244" t="s">
        <v>23</v>
      </c>
      <c r="C35" s="245"/>
      <c r="D35" s="245"/>
      <c r="E35" s="245"/>
    </row>
    <row r="36" spans="1:5" ht="16.5" customHeight="1">
      <c r="A36" s="221"/>
      <c r="B36" s="244" t="s">
        <v>24</v>
      </c>
      <c r="C36" s="245"/>
      <c r="D36" s="245"/>
      <c r="E36" s="245"/>
    </row>
    <row r="37" spans="1:5" ht="15.75" customHeight="1">
      <c r="A37" s="220"/>
      <c r="B37" s="220"/>
      <c r="C37" s="220"/>
      <c r="D37" s="220"/>
      <c r="E37" s="220"/>
    </row>
    <row r="38" spans="1:5" ht="16.5" customHeight="1">
      <c r="A38" s="216" t="s">
        <v>1</v>
      </c>
      <c r="B38" s="217" t="s">
        <v>25</v>
      </c>
    </row>
    <row r="39" spans="1:5" ht="16.5" customHeight="1">
      <c r="A39" s="221" t="s">
        <v>4</v>
      </c>
      <c r="B39" s="218" t="s">
        <v>7</v>
      </c>
      <c r="C39" s="220"/>
      <c r="D39" s="220"/>
      <c r="E39" s="220"/>
    </row>
    <row r="40" spans="1:5" ht="16.5" customHeight="1">
      <c r="A40" s="221" t="s">
        <v>6</v>
      </c>
      <c r="B40" s="222">
        <v>99.8</v>
      </c>
      <c r="C40" s="220"/>
      <c r="D40" s="220"/>
      <c r="E40" s="220"/>
    </row>
    <row r="41" spans="1:5" ht="16.5" customHeight="1">
      <c r="A41" s="218" t="s">
        <v>8</v>
      </c>
      <c r="B41" s="222">
        <v>17.28</v>
      </c>
      <c r="C41" s="220"/>
      <c r="D41" s="220"/>
      <c r="E41" s="220"/>
    </row>
    <row r="42" spans="1:5" ht="16.5" customHeight="1">
      <c r="A42" s="218" t="s">
        <v>10</v>
      </c>
      <c r="B42" s="223">
        <v>2.0735999999999997E-2</v>
      </c>
      <c r="C42" s="220"/>
      <c r="D42" s="220"/>
      <c r="E42" s="220"/>
    </row>
    <row r="43" spans="1:5" ht="15.75" customHeight="1">
      <c r="A43" s="220"/>
      <c r="B43" s="220"/>
      <c r="C43" s="220"/>
      <c r="D43" s="220"/>
      <c r="E43" s="220"/>
    </row>
    <row r="44" spans="1:5" ht="16.5" customHeight="1">
      <c r="A44" s="64" t="s">
        <v>13</v>
      </c>
      <c r="B44" s="224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>
      <c r="A45" s="225">
        <v>1</v>
      </c>
      <c r="B45" s="226">
        <v>304835723</v>
      </c>
      <c r="C45" s="226">
        <v>5553.89</v>
      </c>
      <c r="D45" s="227">
        <v>1.01</v>
      </c>
      <c r="E45" s="228">
        <v>8.43</v>
      </c>
    </row>
    <row r="46" spans="1:5" ht="16.5" customHeight="1">
      <c r="A46" s="225">
        <v>2</v>
      </c>
      <c r="B46" s="226">
        <v>307683796</v>
      </c>
      <c r="C46" s="226">
        <v>5515.43</v>
      </c>
      <c r="D46" s="227">
        <v>1.02</v>
      </c>
      <c r="E46" s="227">
        <v>8.43</v>
      </c>
    </row>
    <row r="47" spans="1:5" ht="16.5" customHeight="1">
      <c r="A47" s="225">
        <v>3</v>
      </c>
      <c r="B47" s="226">
        <v>307124602</v>
      </c>
      <c r="C47" s="226">
        <v>5497.34</v>
      </c>
      <c r="D47" s="227">
        <v>1.02</v>
      </c>
      <c r="E47" s="227">
        <v>8.43</v>
      </c>
    </row>
    <row r="48" spans="1:5" ht="16.5" customHeight="1">
      <c r="A48" s="225">
        <v>4</v>
      </c>
      <c r="B48" s="226">
        <v>308078838</v>
      </c>
      <c r="C48" s="226">
        <v>5447.13</v>
      </c>
      <c r="D48" s="227">
        <v>1.02</v>
      </c>
      <c r="E48" s="227">
        <v>8.43</v>
      </c>
    </row>
    <row r="49" spans="1:7" ht="16.5" customHeight="1">
      <c r="A49" s="225">
        <v>5</v>
      </c>
      <c r="B49" s="226">
        <v>305968606</v>
      </c>
      <c r="C49" s="226">
        <v>5440.37</v>
      </c>
      <c r="D49" s="227">
        <v>1.01</v>
      </c>
      <c r="E49" s="227">
        <v>8.43</v>
      </c>
    </row>
    <row r="50" spans="1:7" ht="16.5" customHeight="1">
      <c r="A50" s="225">
        <v>6</v>
      </c>
      <c r="B50" s="229">
        <v>305534025</v>
      </c>
      <c r="C50" s="229">
        <v>5406.43</v>
      </c>
      <c r="D50" s="230">
        <v>1.01</v>
      </c>
      <c r="E50" s="230">
        <v>8.43</v>
      </c>
    </row>
    <row r="51" spans="1:7" ht="16.5" customHeight="1">
      <c r="A51" s="231" t="s">
        <v>18</v>
      </c>
      <c r="B51" s="232">
        <f>AVERAGE(B45:B50)</f>
        <v>306537598.33333331</v>
      </c>
      <c r="C51" s="233">
        <f>AVERAGE(C45:C50)</f>
        <v>5476.7649999999994</v>
      </c>
      <c r="D51" s="234">
        <f>AVERAGE(D45:D50)</f>
        <v>1.0149999999999999</v>
      </c>
      <c r="E51" s="234">
        <f>AVERAGE(E45:E50)</f>
        <v>8.43</v>
      </c>
    </row>
    <row r="52" spans="1:7" ht="16.5" customHeight="1">
      <c r="A52" s="235" t="s">
        <v>19</v>
      </c>
      <c r="B52" s="236">
        <f>(STDEV(B45:B50)/B51)</f>
        <v>4.1932326998159368E-3</v>
      </c>
      <c r="C52" s="237"/>
      <c r="D52" s="237"/>
      <c r="E52" s="238"/>
    </row>
    <row r="53" spans="1:7" s="48" customFormat="1" ht="16.5" customHeight="1">
      <c r="A53" s="239" t="s">
        <v>20</v>
      </c>
      <c r="B53" s="240">
        <f>COUNT(B45:B50)</f>
        <v>6</v>
      </c>
      <c r="C53" s="241"/>
      <c r="D53" s="242"/>
      <c r="E53" s="243"/>
    </row>
    <row r="54" spans="1:7" s="48" customFormat="1" ht="15.75" customHeight="1">
      <c r="A54" s="220"/>
      <c r="B54" s="220"/>
      <c r="C54" s="220"/>
      <c r="D54" s="220"/>
      <c r="E54" s="220"/>
    </row>
    <row r="55" spans="1:7" s="48" customFormat="1" ht="16.5" customHeight="1">
      <c r="A55" s="221" t="s">
        <v>21</v>
      </c>
      <c r="B55" s="244" t="s">
        <v>22</v>
      </c>
      <c r="C55" s="245"/>
      <c r="D55" s="245"/>
      <c r="E55" s="245"/>
    </row>
    <row r="56" spans="1:7" ht="16.5" customHeight="1">
      <c r="A56" s="221"/>
      <c r="B56" s="244" t="s">
        <v>23</v>
      </c>
      <c r="C56" s="245"/>
      <c r="D56" s="245"/>
      <c r="E56" s="245"/>
    </row>
    <row r="57" spans="1:7" ht="16.5" customHeight="1">
      <c r="A57" s="221"/>
      <c r="B57" s="244" t="s">
        <v>24</v>
      </c>
      <c r="C57" s="245"/>
      <c r="D57" s="245"/>
      <c r="E57" s="245"/>
    </row>
    <row r="58" spans="1:7" ht="14.25" customHeight="1" thickBot="1">
      <c r="A58" s="246"/>
      <c r="B58" s="102"/>
      <c r="D58" s="247"/>
      <c r="F58" s="50"/>
      <c r="G58" s="50"/>
    </row>
    <row r="59" spans="1:7" ht="15" customHeight="1">
      <c r="B59" s="255" t="s">
        <v>26</v>
      </c>
      <c r="C59" s="255"/>
      <c r="E59" s="248" t="s">
        <v>27</v>
      </c>
      <c r="F59" s="249"/>
      <c r="G59" s="248" t="s">
        <v>28</v>
      </c>
    </row>
    <row r="60" spans="1:7" ht="15" customHeight="1">
      <c r="A60" s="250" t="s">
        <v>29</v>
      </c>
      <c r="B60" s="251"/>
      <c r="C60" s="251"/>
      <c r="E60" s="251"/>
      <c r="G60" s="251"/>
    </row>
    <row r="61" spans="1:7" ht="15" customHeight="1">
      <c r="A61" s="250" t="s">
        <v>30</v>
      </c>
      <c r="B61" s="252"/>
      <c r="C61" s="252"/>
      <c r="E61" s="252"/>
      <c r="G61" s="2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0"/>
  <sheetViews>
    <sheetView view="pageLayout" topLeftCell="A61" zoomScale="46" zoomScaleNormal="40" zoomScalePageLayoutView="46" workbookViewId="0">
      <selection activeCell="C113" sqref="C113"/>
    </sheetView>
  </sheetViews>
  <sheetFormatPr defaultColWidth="9.140625" defaultRowHeight="13.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>
      <c r="A1" s="286" t="s">
        <v>45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>
      <c r="A7" s="286"/>
      <c r="B7" s="286"/>
      <c r="C7" s="286"/>
      <c r="D7" s="286"/>
      <c r="E7" s="286"/>
      <c r="F7" s="286"/>
      <c r="G7" s="286"/>
      <c r="H7" s="286"/>
      <c r="I7" s="286"/>
    </row>
    <row r="8" spans="1:9">
      <c r="A8" s="287" t="s">
        <v>46</v>
      </c>
      <c r="B8" s="287"/>
      <c r="C8" s="287"/>
      <c r="D8" s="287"/>
      <c r="E8" s="287"/>
      <c r="F8" s="287"/>
      <c r="G8" s="287"/>
      <c r="H8" s="287"/>
      <c r="I8" s="287"/>
    </row>
    <row r="9" spans="1:9">
      <c r="A9" s="287"/>
      <c r="B9" s="287"/>
      <c r="C9" s="287"/>
      <c r="D9" s="287"/>
      <c r="E9" s="287"/>
      <c r="F9" s="287"/>
      <c r="G9" s="287"/>
      <c r="H9" s="287"/>
      <c r="I9" s="287"/>
    </row>
    <row r="10" spans="1:9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>
      <c r="A15" s="49"/>
    </row>
    <row r="16" spans="1:9" ht="19.5" customHeight="1" thickBot="1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>
      <c r="A18" s="51" t="s">
        <v>33</v>
      </c>
      <c r="B18" s="292" t="s">
        <v>5</v>
      </c>
      <c r="C18" s="292"/>
      <c r="D18" s="52"/>
      <c r="E18" s="53"/>
      <c r="F18" s="54"/>
      <c r="G18" s="54"/>
      <c r="H18" s="54"/>
    </row>
    <row r="19" spans="1:14" ht="26.25" customHeight="1">
      <c r="A19" s="51" t="s">
        <v>34</v>
      </c>
      <c r="B19" s="55" t="s">
        <v>7</v>
      </c>
      <c r="C19" s="54">
        <v>29</v>
      </c>
      <c r="D19" s="54"/>
      <c r="E19" s="54"/>
      <c r="F19" s="54"/>
      <c r="G19" s="54"/>
      <c r="H19" s="54"/>
    </row>
    <row r="20" spans="1:14" ht="26.25" customHeight="1">
      <c r="A20" s="51" t="s">
        <v>35</v>
      </c>
      <c r="B20" s="293" t="s">
        <v>9</v>
      </c>
      <c r="C20" s="293"/>
      <c r="D20" s="54"/>
      <c r="E20" s="54"/>
      <c r="F20" s="54"/>
      <c r="G20" s="54"/>
      <c r="H20" s="54"/>
    </row>
    <row r="21" spans="1:14" ht="26.25" customHeight="1">
      <c r="A21" s="51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56"/>
    </row>
    <row r="22" spans="1:14" ht="26.25" customHeight="1">
      <c r="A22" s="51" t="s">
        <v>37</v>
      </c>
      <c r="B22" s="57">
        <v>42552.461909722224</v>
      </c>
      <c r="C22" s="54"/>
      <c r="D22" s="54"/>
      <c r="E22" s="54"/>
      <c r="F22" s="54"/>
      <c r="G22" s="54"/>
      <c r="H22" s="54"/>
    </row>
    <row r="23" spans="1:14" ht="26.25" customHeight="1">
      <c r="A23" s="51" t="s">
        <v>38</v>
      </c>
      <c r="B23" s="57">
        <v>42556</v>
      </c>
      <c r="C23" s="54"/>
      <c r="D23" s="54"/>
      <c r="E23" s="54"/>
      <c r="F23" s="54"/>
      <c r="G23" s="54"/>
      <c r="H23" s="54"/>
    </row>
    <row r="24" spans="1:14" ht="18.75">
      <c r="A24" s="51"/>
      <c r="B24" s="58"/>
    </row>
    <row r="25" spans="1:14" ht="18.75">
      <c r="A25" s="59" t="s">
        <v>1</v>
      </c>
      <c r="B25" s="58"/>
    </row>
    <row r="26" spans="1:14" ht="26.25" customHeight="1">
      <c r="A26" s="60" t="s">
        <v>4</v>
      </c>
      <c r="B26" s="292" t="s">
        <v>125</v>
      </c>
      <c r="C26" s="292"/>
    </row>
    <row r="27" spans="1:14" ht="26.25" customHeight="1">
      <c r="A27" s="61" t="s">
        <v>48</v>
      </c>
      <c r="B27" s="294" t="s">
        <v>126</v>
      </c>
      <c r="C27" s="294"/>
    </row>
    <row r="28" spans="1:14" ht="27" customHeight="1" thickBot="1">
      <c r="A28" s="61" t="s">
        <v>6</v>
      </c>
      <c r="B28" s="62">
        <v>98.8</v>
      </c>
    </row>
    <row r="29" spans="1:14" s="64" customFormat="1" ht="27" customHeight="1" thickBot="1">
      <c r="A29" s="61" t="s">
        <v>49</v>
      </c>
      <c r="B29" s="63">
        <v>0</v>
      </c>
      <c r="C29" s="275" t="s">
        <v>50</v>
      </c>
      <c r="D29" s="276"/>
      <c r="E29" s="276"/>
      <c r="F29" s="276"/>
      <c r="G29" s="277"/>
      <c r="I29" s="65"/>
      <c r="J29" s="65"/>
      <c r="K29" s="65"/>
      <c r="L29" s="65"/>
    </row>
    <row r="30" spans="1:14" s="64" customFormat="1" ht="19.5" customHeight="1" thickBot="1">
      <c r="A30" s="61" t="s">
        <v>51</v>
      </c>
      <c r="B30" s="66">
        <f>B28-B29</f>
        <v>98.8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>
      <c r="A31" s="61" t="s">
        <v>52</v>
      </c>
      <c r="B31" s="69">
        <v>1</v>
      </c>
      <c r="C31" s="278" t="s">
        <v>53</v>
      </c>
      <c r="D31" s="279"/>
      <c r="E31" s="279"/>
      <c r="F31" s="279"/>
      <c r="G31" s="279"/>
      <c r="H31" s="280"/>
      <c r="I31" s="65"/>
      <c r="J31" s="65"/>
      <c r="K31" s="65"/>
      <c r="L31" s="65"/>
    </row>
    <row r="32" spans="1:14" s="64" customFormat="1" ht="27" customHeight="1" thickBot="1">
      <c r="A32" s="61" t="s">
        <v>54</v>
      </c>
      <c r="B32" s="69">
        <v>1</v>
      </c>
      <c r="C32" s="278" t="s">
        <v>55</v>
      </c>
      <c r="D32" s="279"/>
      <c r="E32" s="279"/>
      <c r="F32" s="279"/>
      <c r="G32" s="279"/>
      <c r="H32" s="280"/>
      <c r="I32" s="65"/>
      <c r="J32" s="65"/>
      <c r="K32" s="65"/>
      <c r="L32" s="70"/>
      <c r="M32" s="70"/>
      <c r="N32" s="71"/>
    </row>
    <row r="33" spans="1:14" s="64" customFormat="1" ht="17.25" customHeight="1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>
      <c r="A36" s="75" t="s">
        <v>58</v>
      </c>
      <c r="B36" s="76">
        <v>50</v>
      </c>
      <c r="C36" s="49"/>
      <c r="D36" s="265" t="s">
        <v>59</v>
      </c>
      <c r="E36" s="285"/>
      <c r="F36" s="265" t="s">
        <v>60</v>
      </c>
      <c r="G36" s="266"/>
      <c r="J36" s="65"/>
      <c r="K36" s="65"/>
      <c r="L36" s="70"/>
      <c r="M36" s="70"/>
      <c r="N36" s="71"/>
    </row>
    <row r="37" spans="1:14" s="64" customFormat="1" ht="27" customHeight="1" thickBot="1">
      <c r="A37" s="77" t="s">
        <v>61</v>
      </c>
      <c r="B37" s="78">
        <v>3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>
      <c r="A38" s="77" t="s">
        <v>66</v>
      </c>
      <c r="B38" s="78">
        <v>50</v>
      </c>
      <c r="C38" s="84">
        <v>1</v>
      </c>
      <c r="D38" s="85">
        <v>258682813</v>
      </c>
      <c r="E38" s="86">
        <f>IF(ISBLANK(D38),"-",$D$48/$D$45*D38)</f>
        <v>316030211.36801136</v>
      </c>
      <c r="F38" s="85">
        <v>342772214</v>
      </c>
      <c r="G38" s="87">
        <f>IF(ISBLANK(F38),"-",$D$48/$F$45*F38)</f>
        <v>303434997.96324438</v>
      </c>
      <c r="I38" s="88"/>
      <c r="J38" s="65"/>
      <c r="K38" s="65"/>
      <c r="L38" s="70"/>
      <c r="M38" s="70"/>
      <c r="N38" s="71"/>
    </row>
    <row r="39" spans="1:14" s="64" customFormat="1" ht="26.25" customHeight="1">
      <c r="A39" s="77" t="s">
        <v>67</v>
      </c>
      <c r="B39" s="78">
        <v>1</v>
      </c>
      <c r="C39" s="89">
        <v>2</v>
      </c>
      <c r="D39" s="90">
        <v>258394414</v>
      </c>
      <c r="E39" s="91">
        <f>IF(ISBLANK(D39),"-",$D$48/$D$45*D39)</f>
        <v>315677877.1875093</v>
      </c>
      <c r="F39" s="90">
        <v>345416620</v>
      </c>
      <c r="G39" s="92">
        <f>IF(ISBLANK(F39),"-",$D$48/$F$45*F39)</f>
        <v>305775926.70965672</v>
      </c>
      <c r="I39" s="256">
        <f>ABS((F43/D43*D42)-F42)/D42</f>
        <v>4.7585936683432452E-2</v>
      </c>
      <c r="J39" s="65"/>
      <c r="K39" s="65"/>
      <c r="L39" s="70"/>
      <c r="M39" s="70"/>
      <c r="N39" s="71"/>
    </row>
    <row r="40" spans="1:14" ht="26.25" customHeight="1">
      <c r="A40" s="77" t="s">
        <v>68</v>
      </c>
      <c r="B40" s="78">
        <v>1</v>
      </c>
      <c r="C40" s="89">
        <v>3</v>
      </c>
      <c r="D40" s="90">
        <v>257952050</v>
      </c>
      <c r="E40" s="91">
        <f>IF(ISBLANK(D40),"-",$D$48/$D$45*D40)</f>
        <v>315137445.50285155</v>
      </c>
      <c r="F40" s="90">
        <v>344524958</v>
      </c>
      <c r="G40" s="92">
        <f>IF(ISBLANK(F40),"-",$D$48/$F$45*F40)</f>
        <v>304986593.60124463</v>
      </c>
      <c r="I40" s="256"/>
      <c r="L40" s="70"/>
      <c r="M40" s="70"/>
      <c r="N40" s="49"/>
    </row>
    <row r="41" spans="1:14" ht="27" customHeight="1" thickBot="1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>
      <c r="A42" s="77" t="s">
        <v>70</v>
      </c>
      <c r="B42" s="78">
        <v>1</v>
      </c>
      <c r="C42" s="98" t="s">
        <v>71</v>
      </c>
      <c r="D42" s="99">
        <f>AVERAGE(D38:D41)</f>
        <v>258343092.33333334</v>
      </c>
      <c r="E42" s="100">
        <f>AVERAGE(E38:E41)</f>
        <v>315615178.0194574</v>
      </c>
      <c r="F42" s="99">
        <f>AVERAGE(F38:F41)</f>
        <v>344237930.66666669</v>
      </c>
      <c r="G42" s="101">
        <f>AVERAGE(G38:G41)</f>
        <v>304732506.09138197</v>
      </c>
      <c r="H42" s="102"/>
    </row>
    <row r="43" spans="1:14" ht="26.25" customHeight="1">
      <c r="A43" s="77" t="s">
        <v>72</v>
      </c>
      <c r="B43" s="78">
        <v>1</v>
      </c>
      <c r="C43" s="103" t="s">
        <v>73</v>
      </c>
      <c r="D43" s="104">
        <v>17.260000000000002</v>
      </c>
      <c r="E43" s="49"/>
      <c r="F43" s="104">
        <v>23.82</v>
      </c>
      <c r="H43" s="102"/>
    </row>
    <row r="44" spans="1:14" ht="26.25" customHeight="1">
      <c r="A44" s="77" t="s">
        <v>74</v>
      </c>
      <c r="B44" s="78">
        <v>1</v>
      </c>
      <c r="C44" s="105" t="s">
        <v>75</v>
      </c>
      <c r="D44" s="106">
        <f>D43*$B$34</f>
        <v>17.260000000000002</v>
      </c>
      <c r="E44" s="107"/>
      <c r="F44" s="106">
        <f>F43*$B$34</f>
        <v>23.82</v>
      </c>
      <c r="H44" s="102"/>
    </row>
    <row r="45" spans="1:14" ht="19.5" customHeight="1" thickBot="1">
      <c r="A45" s="77" t="s">
        <v>76</v>
      </c>
      <c r="B45" s="89">
        <f>(B44/B43)*(B42/B41)*(B40/B39)*(B38/B37)*B36</f>
        <v>833.33333333333337</v>
      </c>
      <c r="C45" s="105" t="s">
        <v>77</v>
      </c>
      <c r="D45" s="108">
        <f>D44*$B$30/100</f>
        <v>17.052880000000002</v>
      </c>
      <c r="E45" s="109"/>
      <c r="F45" s="108">
        <f>F44*$B$30/100</f>
        <v>23.53416</v>
      </c>
      <c r="H45" s="102"/>
    </row>
    <row r="46" spans="1:14" ht="19.5" customHeight="1" thickBot="1">
      <c r="A46" s="257" t="s">
        <v>78</v>
      </c>
      <c r="B46" s="261"/>
      <c r="C46" s="105" t="s">
        <v>79</v>
      </c>
      <c r="D46" s="110">
        <f>D45/$B$45</f>
        <v>2.0463456000000001E-2</v>
      </c>
      <c r="E46" s="111"/>
      <c r="F46" s="112">
        <f>F45/$B$45</f>
        <v>2.8240991999999999E-2</v>
      </c>
      <c r="H46" s="102"/>
    </row>
    <row r="47" spans="1:14" ht="27" customHeight="1" thickBot="1">
      <c r="A47" s="259"/>
      <c r="B47" s="262"/>
      <c r="C47" s="113" t="s">
        <v>80</v>
      </c>
      <c r="D47" s="114">
        <v>2.5000000000000001E-2</v>
      </c>
      <c r="E47" s="115"/>
      <c r="F47" s="111"/>
      <c r="H47" s="102"/>
    </row>
    <row r="48" spans="1:14" ht="18.75">
      <c r="C48" s="116" t="s">
        <v>81</v>
      </c>
      <c r="D48" s="108">
        <f>D47*$B$45</f>
        <v>20.833333333333336</v>
      </c>
      <c r="F48" s="117"/>
      <c r="H48" s="102"/>
    </row>
    <row r="49" spans="1:12" ht="19.5" customHeight="1" thickBot="1">
      <c r="C49" s="118" t="s">
        <v>82</v>
      </c>
      <c r="D49" s="119">
        <f>D48/B34</f>
        <v>20.833333333333336</v>
      </c>
      <c r="F49" s="117"/>
      <c r="H49" s="102"/>
    </row>
    <row r="50" spans="1:12" ht="18.75">
      <c r="C50" s="75" t="s">
        <v>83</v>
      </c>
      <c r="D50" s="120">
        <f>AVERAGE(E38:E41,G38:G41)</f>
        <v>310173842.05541968</v>
      </c>
      <c r="F50" s="121"/>
      <c r="H50" s="102"/>
    </row>
    <row r="51" spans="1:12" ht="18.75">
      <c r="C51" s="77" t="s">
        <v>84</v>
      </c>
      <c r="D51" s="122">
        <f>STDEV(E38:E41,G38:G41)/D50</f>
        <v>1.939175727589736E-2</v>
      </c>
      <c r="F51" s="121"/>
      <c r="H51" s="102"/>
    </row>
    <row r="52" spans="1:12" ht="19.5" customHeight="1" thickBot="1">
      <c r="C52" s="123" t="s">
        <v>20</v>
      </c>
      <c r="D52" s="124">
        <f>COUNT(E38:E41,G38:G41)</f>
        <v>6</v>
      </c>
      <c r="F52" s="121"/>
    </row>
    <row r="54" spans="1:12" ht="18.75">
      <c r="A54" s="125" t="s">
        <v>1</v>
      </c>
      <c r="B54" s="126" t="s">
        <v>85</v>
      </c>
    </row>
    <row r="55" spans="1:12" ht="18.75">
      <c r="A55" s="49" t="s">
        <v>86</v>
      </c>
      <c r="B55" s="127" t="str">
        <f>B21</f>
        <v>Each tablet contains: 200 mg of Nevirapine USP.</v>
      </c>
    </row>
    <row r="56" spans="1:12" ht="26.25" customHeight="1">
      <c r="A56" s="127" t="s">
        <v>87</v>
      </c>
      <c r="B56" s="128">
        <v>200</v>
      </c>
      <c r="C56" s="49" t="str">
        <f>B20</f>
        <v>Nevirapine USP</v>
      </c>
      <c r="H56" s="107"/>
    </row>
    <row r="57" spans="1:12" ht="18.75">
      <c r="A57" s="127" t="s">
        <v>88</v>
      </c>
      <c r="B57" s="129">
        <f>Uniformity!C46</f>
        <v>363.86299999999994</v>
      </c>
      <c r="H57" s="107"/>
    </row>
    <row r="58" spans="1:12" ht="19.5" customHeight="1" thickBot="1">
      <c r="H58" s="107"/>
    </row>
    <row r="59" spans="1:12" s="64" customFormat="1" ht="27" customHeight="1" thickBot="1">
      <c r="A59" s="75" t="s">
        <v>89</v>
      </c>
      <c r="B59" s="76">
        <v>250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>
      <c r="A60" s="77" t="s">
        <v>93</v>
      </c>
      <c r="B60" s="78">
        <v>3</v>
      </c>
      <c r="C60" s="267" t="s">
        <v>94</v>
      </c>
      <c r="D60" s="270">
        <v>370.65</v>
      </c>
      <c r="E60" s="132">
        <v>1</v>
      </c>
      <c r="F60" s="133">
        <v>297813576</v>
      </c>
      <c r="G60" s="134">
        <f>IF(ISBLANK(F60),"-",(F60/$D$50*$D$47*$B$68)*($B$57/$D$60))</f>
        <v>196.36856927237682</v>
      </c>
      <c r="H60" s="135">
        <f t="shared" ref="H60:H71" si="0">IF(ISBLANK(F60),"-",G60/$B$56)</f>
        <v>0.98184284636188413</v>
      </c>
      <c r="L60" s="65"/>
    </row>
    <row r="61" spans="1:12" s="64" customFormat="1" ht="26.25" customHeight="1">
      <c r="A61" s="77" t="s">
        <v>95</v>
      </c>
      <c r="B61" s="78">
        <v>100</v>
      </c>
      <c r="C61" s="268"/>
      <c r="D61" s="271"/>
      <c r="E61" s="136">
        <v>2</v>
      </c>
      <c r="F61" s="90">
        <v>300310215</v>
      </c>
      <c r="G61" s="137">
        <f>IF(ISBLANK(F61),"-",(F61/$D$50*$D$47*$B$68)*($B$57/$D$60))</f>
        <v>198.01477168868178</v>
      </c>
      <c r="H61" s="138">
        <f t="shared" si="0"/>
        <v>0.99007385844340889</v>
      </c>
      <c r="L61" s="65"/>
    </row>
    <row r="62" spans="1:12" s="64" customFormat="1" ht="26.25" customHeight="1">
      <c r="A62" s="77" t="s">
        <v>96</v>
      </c>
      <c r="B62" s="78">
        <v>1</v>
      </c>
      <c r="C62" s="268"/>
      <c r="D62" s="271"/>
      <c r="E62" s="136">
        <v>3</v>
      </c>
      <c r="F62" s="139">
        <v>299884299</v>
      </c>
      <c r="G62" s="137">
        <f>IF(ISBLANK(F62),"-",(F62/$D$50*$D$47*$B$68)*($B$57/$D$60))</f>
        <v>197.73393655459031</v>
      </c>
      <c r="H62" s="138">
        <f t="shared" si="0"/>
        <v>0.98866968277295153</v>
      </c>
      <c r="L62" s="65"/>
    </row>
    <row r="63" spans="1:12" ht="27" customHeight="1" thickBot="1">
      <c r="A63" s="77" t="s">
        <v>97</v>
      </c>
      <c r="B63" s="78">
        <v>1</v>
      </c>
      <c r="C63" s="269"/>
      <c r="D63" s="272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>
      <c r="A64" s="77" t="s">
        <v>98</v>
      </c>
      <c r="B64" s="78">
        <v>1</v>
      </c>
      <c r="C64" s="267" t="s">
        <v>99</v>
      </c>
      <c r="D64" s="270">
        <v>390.67</v>
      </c>
      <c r="E64" s="132">
        <v>1</v>
      </c>
      <c r="F64" s="133">
        <v>314425765</v>
      </c>
      <c r="G64" s="142">
        <f>IF(ISBLANK(F64),"-",(F64/$D$50*$D$47*$B$68)*($B$57/$D$64))</f>
        <v>196.69782270045806</v>
      </c>
      <c r="H64" s="143">
        <f t="shared" si="0"/>
        <v>0.98348911350229029</v>
      </c>
    </row>
    <row r="65" spans="1:8" ht="26.25" customHeight="1">
      <c r="A65" s="77" t="s">
        <v>100</v>
      </c>
      <c r="B65" s="78">
        <v>1</v>
      </c>
      <c r="C65" s="268"/>
      <c r="D65" s="271"/>
      <c r="E65" s="136">
        <v>2</v>
      </c>
      <c r="F65" s="90">
        <v>317596632</v>
      </c>
      <c r="G65" s="144">
        <f>IF(ISBLANK(F65),"-",(F65/$D$50*$D$47*$B$68)*($B$57/$D$64))</f>
        <v>198.6814471498499</v>
      </c>
      <c r="H65" s="145">
        <f t="shared" si="0"/>
        <v>0.9934072357492495</v>
      </c>
    </row>
    <row r="66" spans="1:8" ht="26.25" customHeight="1">
      <c r="A66" s="77" t="s">
        <v>101</v>
      </c>
      <c r="B66" s="78">
        <v>1</v>
      </c>
      <c r="C66" s="268"/>
      <c r="D66" s="271"/>
      <c r="E66" s="136">
        <v>3</v>
      </c>
      <c r="F66" s="90">
        <v>313951914</v>
      </c>
      <c r="G66" s="144">
        <f>IF(ISBLANK(F66),"-",(F66/$D$50*$D$47*$B$68)*($B$57/$D$64))</f>
        <v>196.40139196748544</v>
      </c>
      <c r="H66" s="145">
        <f t="shared" si="0"/>
        <v>0.98200695983742714</v>
      </c>
    </row>
    <row r="67" spans="1:8" ht="27" customHeight="1" thickBot="1">
      <c r="A67" s="77" t="s">
        <v>102</v>
      </c>
      <c r="B67" s="78">
        <v>1</v>
      </c>
      <c r="C67" s="269"/>
      <c r="D67" s="272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>
      <c r="A68" s="77" t="s">
        <v>103</v>
      </c>
      <c r="B68" s="148">
        <f>(B67/B66)*(B65/B64)*(B63/B62)*(B61/B60)*B59</f>
        <v>8333.3333333333339</v>
      </c>
      <c r="C68" s="267" t="s">
        <v>104</v>
      </c>
      <c r="D68" s="270">
        <v>382.45</v>
      </c>
      <c r="E68" s="132">
        <v>1</v>
      </c>
      <c r="F68" s="133">
        <v>308034108</v>
      </c>
      <c r="G68" s="142">
        <f>IF(ISBLANK(F68),"-",(F68/$D$50*$D$47*$B$68)*($B$57/$D$68))</f>
        <v>196.8410311381007</v>
      </c>
      <c r="H68" s="138">
        <f t="shared" si="0"/>
        <v>0.98420515569050349</v>
      </c>
    </row>
    <row r="69" spans="1:8" ht="27" customHeight="1" thickBot="1">
      <c r="A69" s="123" t="s">
        <v>105</v>
      </c>
      <c r="B69" s="149">
        <f>(D47*B68)/B56*B57</f>
        <v>379.02395833333338</v>
      </c>
      <c r="C69" s="268"/>
      <c r="D69" s="271"/>
      <c r="E69" s="136">
        <v>2</v>
      </c>
      <c r="F69" s="90">
        <v>308078836</v>
      </c>
      <c r="G69" s="144">
        <f>IF(ISBLANK(F69),"-",(F69/$D$50*$D$47*$B$68)*($B$57/$D$68))</f>
        <v>196.8696133808202</v>
      </c>
      <c r="H69" s="138">
        <f t="shared" si="0"/>
        <v>0.98434806690410104</v>
      </c>
    </row>
    <row r="70" spans="1:8" ht="26.25" customHeight="1">
      <c r="A70" s="281" t="s">
        <v>78</v>
      </c>
      <c r="B70" s="282"/>
      <c r="C70" s="268"/>
      <c r="D70" s="271"/>
      <c r="E70" s="136">
        <v>3</v>
      </c>
      <c r="F70" s="90">
        <v>307797653</v>
      </c>
      <c r="G70" s="144">
        <f>IF(ISBLANK(F70),"-",(F70/$D$50*$D$47*$B$68)*($B$57/$D$68))</f>
        <v>196.68993083846195</v>
      </c>
      <c r="H70" s="138">
        <f t="shared" si="0"/>
        <v>0.98344965419230979</v>
      </c>
    </row>
    <row r="71" spans="1:8" ht="27" customHeight="1" thickBot="1">
      <c r="A71" s="283"/>
      <c r="B71" s="284"/>
      <c r="C71" s="273"/>
      <c r="D71" s="272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>
      <c r="A72" s="107"/>
      <c r="B72" s="107"/>
      <c r="C72" s="107"/>
      <c r="D72" s="107"/>
      <c r="E72" s="107"/>
      <c r="F72" s="151" t="s">
        <v>71</v>
      </c>
      <c r="G72" s="152">
        <f>AVERAGE(G60:G71)</f>
        <v>197.14427941009168</v>
      </c>
      <c r="H72" s="153">
        <f>AVERAGE(H60:H71)</f>
        <v>0.98572139705045836</v>
      </c>
    </row>
    <row r="73" spans="1:8" ht="26.25" customHeight="1">
      <c r="C73" s="107"/>
      <c r="D73" s="107"/>
      <c r="E73" s="107"/>
      <c r="F73" s="154" t="s">
        <v>84</v>
      </c>
      <c r="G73" s="155">
        <f>STDEV(G60:G71)/G72</f>
        <v>4.0875951245045103E-3</v>
      </c>
      <c r="H73" s="155">
        <f>STDEV(H60:H71)/H72</f>
        <v>4.0875951245045025E-3</v>
      </c>
    </row>
    <row r="74" spans="1:8" ht="27" customHeight="1" thickBot="1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>
      <c r="A76" s="60" t="s">
        <v>106</v>
      </c>
      <c r="B76" s="61" t="s">
        <v>107</v>
      </c>
      <c r="C76" s="263" t="str">
        <f>B20</f>
        <v>Nevirapine USP</v>
      </c>
      <c r="D76" s="263"/>
      <c r="E76" s="49" t="s">
        <v>108</v>
      </c>
      <c r="F76" s="49"/>
      <c r="G76" s="158">
        <f>H72</f>
        <v>0.98572139705045836</v>
      </c>
      <c r="H76" s="66"/>
    </row>
    <row r="77" spans="1:8" ht="18.75">
      <c r="A77" s="59" t="s">
        <v>109</v>
      </c>
      <c r="B77" s="59" t="s">
        <v>110</v>
      </c>
    </row>
    <row r="78" spans="1:8" ht="18.75">
      <c r="A78" s="59"/>
      <c r="B78" s="59"/>
    </row>
    <row r="79" spans="1:8" ht="26.25" customHeight="1">
      <c r="A79" s="60" t="s">
        <v>4</v>
      </c>
      <c r="B79" s="274" t="str">
        <f>B26</f>
        <v>NEVIRAPINE</v>
      </c>
      <c r="C79" s="274"/>
    </row>
    <row r="80" spans="1:8" ht="26.25" customHeight="1">
      <c r="A80" s="61" t="s">
        <v>48</v>
      </c>
      <c r="B80" s="274" t="str">
        <f>B27</f>
        <v>N1-4</v>
      </c>
      <c r="C80" s="274"/>
    </row>
    <row r="81" spans="1:12" ht="27" customHeight="1" thickBot="1">
      <c r="A81" s="61" t="s">
        <v>6</v>
      </c>
      <c r="B81" s="62">
        <f>B28</f>
        <v>98.8</v>
      </c>
    </row>
    <row r="82" spans="1:12" s="64" customFormat="1" ht="27" customHeight="1" thickBot="1">
      <c r="A82" s="61" t="s">
        <v>49</v>
      </c>
      <c r="B82" s="63">
        <v>0</v>
      </c>
      <c r="C82" s="275" t="s">
        <v>50</v>
      </c>
      <c r="D82" s="276"/>
      <c r="E82" s="276"/>
      <c r="F82" s="276"/>
      <c r="G82" s="277"/>
      <c r="I82" s="65"/>
      <c r="J82" s="65"/>
      <c r="K82" s="65"/>
      <c r="L82" s="65"/>
    </row>
    <row r="83" spans="1:12" s="64" customFormat="1" ht="19.5" customHeight="1" thickBot="1">
      <c r="A83" s="61" t="s">
        <v>51</v>
      </c>
      <c r="B83" s="66">
        <f>B81-B82</f>
        <v>98.8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>
      <c r="A84" s="61" t="s">
        <v>52</v>
      </c>
      <c r="B84" s="69">
        <v>1</v>
      </c>
      <c r="C84" s="278" t="s">
        <v>111</v>
      </c>
      <c r="D84" s="279"/>
      <c r="E84" s="279"/>
      <c r="F84" s="279"/>
      <c r="G84" s="279"/>
      <c r="H84" s="280"/>
      <c r="I84" s="65"/>
      <c r="J84" s="65"/>
      <c r="K84" s="65"/>
      <c r="L84" s="65"/>
    </row>
    <row r="85" spans="1:12" s="64" customFormat="1" ht="27" customHeight="1" thickBot="1">
      <c r="A85" s="61" t="s">
        <v>54</v>
      </c>
      <c r="B85" s="69">
        <v>1</v>
      </c>
      <c r="C85" s="278" t="s">
        <v>112</v>
      </c>
      <c r="D85" s="279"/>
      <c r="E85" s="279"/>
      <c r="F85" s="279"/>
      <c r="G85" s="279"/>
      <c r="H85" s="280"/>
      <c r="I85" s="65"/>
      <c r="J85" s="65"/>
      <c r="K85" s="65"/>
      <c r="L85" s="65"/>
    </row>
    <row r="86" spans="1:12" s="64" customFormat="1" ht="18.75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>
      <c r="A88" s="59"/>
      <c r="B88" s="59"/>
    </row>
    <row r="89" spans="1:12" ht="27" customHeight="1" thickBot="1">
      <c r="A89" s="75" t="s">
        <v>58</v>
      </c>
      <c r="B89" s="76">
        <v>50</v>
      </c>
      <c r="D89" s="159" t="s">
        <v>59</v>
      </c>
      <c r="E89" s="160"/>
      <c r="F89" s="265" t="s">
        <v>60</v>
      </c>
      <c r="G89" s="266"/>
    </row>
    <row r="90" spans="1:12" ht="27" customHeight="1" thickBot="1">
      <c r="A90" s="77" t="s">
        <v>61</v>
      </c>
      <c r="B90" s="78">
        <v>3</v>
      </c>
      <c r="C90" s="161" t="s">
        <v>62</v>
      </c>
      <c r="D90" s="80" t="s">
        <v>63</v>
      </c>
      <c r="E90" s="81" t="s">
        <v>64</v>
      </c>
      <c r="F90" s="80" t="s">
        <v>63</v>
      </c>
      <c r="G90" s="162" t="s">
        <v>64</v>
      </c>
      <c r="I90" s="83" t="s">
        <v>65</v>
      </c>
    </row>
    <row r="91" spans="1:12" ht="26.25" customHeight="1">
      <c r="A91" s="77" t="s">
        <v>66</v>
      </c>
      <c r="B91" s="78">
        <v>100</v>
      </c>
      <c r="C91" s="163">
        <v>1</v>
      </c>
      <c r="D91" s="85">
        <v>184804612</v>
      </c>
      <c r="E91" s="86">
        <f>IF(ISBLANK(D91),"-",$D$101/$D$98*D91)</f>
        <v>173121571.96459788</v>
      </c>
      <c r="F91" s="85">
        <v>157730558</v>
      </c>
      <c r="G91" s="87">
        <f>IF(ISBLANK(F91),"-",$D$101/$F$98*F91)</f>
        <v>172889661.86396164</v>
      </c>
      <c r="I91" s="88"/>
    </row>
    <row r="92" spans="1:12" ht="26.25" customHeight="1">
      <c r="A92" s="77" t="s">
        <v>67</v>
      </c>
      <c r="B92" s="78">
        <v>1</v>
      </c>
      <c r="C92" s="107">
        <v>2</v>
      </c>
      <c r="D92" s="90">
        <v>188297186</v>
      </c>
      <c r="E92" s="91">
        <f>IF(ISBLANK(D92),"-",$D$101/$D$98*D92)</f>
        <v>176393351.24834585</v>
      </c>
      <c r="F92" s="90">
        <v>159178572</v>
      </c>
      <c r="G92" s="92">
        <f>IF(ISBLANK(F92),"-",$D$101/$F$98*F92)</f>
        <v>174476841.00038671</v>
      </c>
      <c r="I92" s="256">
        <f>ABS((F96/D96*D95)-F95)/D95</f>
        <v>3.0592534525763081E-3</v>
      </c>
    </row>
    <row r="93" spans="1:12" ht="26.25" customHeight="1">
      <c r="A93" s="77" t="s">
        <v>68</v>
      </c>
      <c r="B93" s="78">
        <v>1</v>
      </c>
      <c r="C93" s="107">
        <v>3</v>
      </c>
      <c r="D93" s="90">
        <v>183830896</v>
      </c>
      <c r="E93" s="91">
        <f>IF(ISBLANK(D93),"-",$D$101/$D$98*D93)</f>
        <v>172209412.66974714</v>
      </c>
      <c r="F93" s="90">
        <v>160773797</v>
      </c>
      <c r="G93" s="92">
        <f>IF(ISBLANK(F93),"-",$D$101/$F$98*F93)</f>
        <v>176225379.23130414</v>
      </c>
      <c r="I93" s="256"/>
    </row>
    <row r="94" spans="1:12" ht="27" customHeight="1" thickBot="1">
      <c r="A94" s="77" t="s">
        <v>69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>
      <c r="A95" s="77" t="s">
        <v>70</v>
      </c>
      <c r="B95" s="78">
        <v>1</v>
      </c>
      <c r="C95" s="61" t="s">
        <v>71</v>
      </c>
      <c r="D95" s="166">
        <f>AVERAGE(D91:D94)</f>
        <v>185644231.33333334</v>
      </c>
      <c r="E95" s="100">
        <f>AVERAGE(E91:E94)</f>
        <v>173908111.96089697</v>
      </c>
      <c r="F95" s="167">
        <f>AVERAGE(F91:F94)</f>
        <v>159227642.33333334</v>
      </c>
      <c r="G95" s="168">
        <f>AVERAGE(G91:G94)</f>
        <v>174530627.36521748</v>
      </c>
    </row>
    <row r="96" spans="1:12" ht="26.25" customHeight="1">
      <c r="A96" s="77" t="s">
        <v>72</v>
      </c>
      <c r="B96" s="62">
        <v>1</v>
      </c>
      <c r="C96" s="169" t="s">
        <v>113</v>
      </c>
      <c r="D96" s="170">
        <v>24.01</v>
      </c>
      <c r="E96" s="49"/>
      <c r="F96" s="104">
        <v>20.52</v>
      </c>
    </row>
    <row r="97" spans="1:10" ht="26.25" customHeight="1">
      <c r="A97" s="77" t="s">
        <v>74</v>
      </c>
      <c r="B97" s="62">
        <v>1</v>
      </c>
      <c r="C97" s="171" t="s">
        <v>114</v>
      </c>
      <c r="D97" s="172">
        <f>D96*$B$87</f>
        <v>24.01</v>
      </c>
      <c r="E97" s="107"/>
      <c r="F97" s="106">
        <f>F96*$B$87</f>
        <v>20.52</v>
      </c>
    </row>
    <row r="98" spans="1:10" ht="19.5" customHeight="1" thickBot="1">
      <c r="A98" s="77" t="s">
        <v>76</v>
      </c>
      <c r="B98" s="107">
        <f>(B97/B96)*(B95/B94)*(B93/B92)*(B91/B90)*B89</f>
        <v>1666.6666666666667</v>
      </c>
      <c r="C98" s="171" t="s">
        <v>115</v>
      </c>
      <c r="D98" s="173">
        <f>D97*$B$83/100</f>
        <v>23.721880000000002</v>
      </c>
      <c r="E98" s="109"/>
      <c r="F98" s="108">
        <f>F97*$B$83/100</f>
        <v>20.273759999999999</v>
      </c>
    </row>
    <row r="99" spans="1:10" ht="19.5" customHeight="1" thickBot="1">
      <c r="A99" s="257" t="s">
        <v>78</v>
      </c>
      <c r="B99" s="258"/>
      <c r="C99" s="171" t="s">
        <v>116</v>
      </c>
      <c r="D99" s="174">
        <f>D98/$B$98</f>
        <v>1.4233128000000001E-2</v>
      </c>
      <c r="E99" s="109"/>
      <c r="F99" s="112">
        <f>F98/$B$98</f>
        <v>1.2164255999999998E-2</v>
      </c>
      <c r="H99" s="102"/>
    </row>
    <row r="100" spans="1:10" ht="19.5" customHeight="1" thickBot="1">
      <c r="A100" s="259"/>
      <c r="B100" s="260"/>
      <c r="C100" s="171" t="s">
        <v>80</v>
      </c>
      <c r="D100" s="175">
        <f>$B$56/$B$116</f>
        <v>1.3333333333333332E-2</v>
      </c>
      <c r="F100" s="117"/>
      <c r="G100" s="176"/>
      <c r="H100" s="102"/>
    </row>
    <row r="101" spans="1:10" ht="18.75">
      <c r="C101" s="171" t="s">
        <v>81</v>
      </c>
      <c r="D101" s="172">
        <f>D100*$B$98</f>
        <v>22.222222222222221</v>
      </c>
      <c r="F101" s="117"/>
      <c r="H101" s="102"/>
    </row>
    <row r="102" spans="1:10" ht="19.5" customHeight="1" thickBot="1">
      <c r="C102" s="177" t="s">
        <v>82</v>
      </c>
      <c r="D102" s="178">
        <f>D101/B34</f>
        <v>22.222222222222221</v>
      </c>
      <c r="F102" s="121"/>
      <c r="H102" s="102"/>
      <c r="J102" s="179"/>
    </row>
    <row r="103" spans="1:10" ht="18.75">
      <c r="C103" s="180" t="s">
        <v>117</v>
      </c>
      <c r="D103" s="181">
        <f>AVERAGE(E91:E94,G91:G94)</f>
        <v>174219369.66305724</v>
      </c>
      <c r="F103" s="121"/>
      <c r="G103" s="176"/>
      <c r="H103" s="102"/>
      <c r="J103" s="182"/>
    </row>
    <row r="104" spans="1:10" ht="18.75">
      <c r="C104" s="154" t="s">
        <v>84</v>
      </c>
      <c r="D104" s="183">
        <f>STDEV(E91:E94,G91:G94)/D103</f>
        <v>1.0213059999400349E-2</v>
      </c>
      <c r="F104" s="121"/>
      <c r="H104" s="102"/>
      <c r="J104" s="182"/>
    </row>
    <row r="105" spans="1:10" ht="19.5" customHeight="1" thickBot="1">
      <c r="C105" s="156" t="s">
        <v>20</v>
      </c>
      <c r="D105" s="184">
        <f>COUNT(E91:E94,G91:G94)</f>
        <v>6</v>
      </c>
      <c r="F105" s="121"/>
      <c r="H105" s="102"/>
      <c r="J105" s="182"/>
    </row>
    <row r="106" spans="1:10" ht="19.5" customHeight="1" thickBot="1">
      <c r="A106" s="125"/>
      <c r="B106" s="125"/>
      <c r="C106" s="125"/>
      <c r="D106" s="125"/>
      <c r="E106" s="125"/>
    </row>
    <row r="107" spans="1:10" ht="26.25" customHeight="1">
      <c r="A107" s="75" t="s">
        <v>118</v>
      </c>
      <c r="B107" s="76">
        <v>900</v>
      </c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>
      <c r="A108" s="77" t="s">
        <v>122</v>
      </c>
      <c r="B108" s="78">
        <v>3</v>
      </c>
      <c r="C108" s="188">
        <v>1</v>
      </c>
      <c r="D108" s="189">
        <v>173722612</v>
      </c>
      <c r="E108" s="190">
        <f t="shared" ref="E108:E113" si="1">IF(ISBLANK(D108),"-",D108/$D$103*$D$100*$B$116)</f>
        <v>199.42973314159272</v>
      </c>
      <c r="F108" s="191">
        <f t="shared" ref="F108:F113" si="2">IF(ISBLANK(D108), "-", E108/$B$56)</f>
        <v>0.99714866570796357</v>
      </c>
    </row>
    <row r="109" spans="1:10" ht="26.25" customHeight="1">
      <c r="A109" s="77" t="s">
        <v>95</v>
      </c>
      <c r="B109" s="78">
        <v>50</v>
      </c>
      <c r="C109" s="188">
        <v>2</v>
      </c>
      <c r="D109" s="189">
        <v>162566700</v>
      </c>
      <c r="E109" s="192">
        <f t="shared" si="1"/>
        <v>186.62299182278795</v>
      </c>
      <c r="F109" s="193">
        <f t="shared" si="2"/>
        <v>0.93311495911393971</v>
      </c>
    </row>
    <row r="110" spans="1:10" ht="26.25" customHeight="1">
      <c r="A110" s="77" t="s">
        <v>96</v>
      </c>
      <c r="B110" s="78">
        <v>1</v>
      </c>
      <c r="C110" s="188">
        <v>3</v>
      </c>
      <c r="D110" s="189">
        <v>146340421</v>
      </c>
      <c r="E110" s="192">
        <f t="shared" si="1"/>
        <v>167.99558083928838</v>
      </c>
      <c r="F110" s="193">
        <f t="shared" si="2"/>
        <v>0.83997790419644192</v>
      </c>
    </row>
    <row r="111" spans="1:10" ht="26.25" customHeight="1">
      <c r="A111" s="77" t="s">
        <v>97</v>
      </c>
      <c r="B111" s="78">
        <v>1</v>
      </c>
      <c r="C111" s="188">
        <v>4</v>
      </c>
      <c r="D111" s="189">
        <v>170101274</v>
      </c>
      <c r="E111" s="192">
        <f t="shared" si="1"/>
        <v>195.27251686075817</v>
      </c>
      <c r="F111" s="193">
        <f t="shared" si="2"/>
        <v>0.97636258430379086</v>
      </c>
    </row>
    <row r="112" spans="1:10" ht="26.25" customHeight="1">
      <c r="A112" s="77" t="s">
        <v>98</v>
      </c>
      <c r="B112" s="78">
        <v>1</v>
      </c>
      <c r="C112" s="188">
        <v>5</v>
      </c>
      <c r="D112" s="189">
        <v>166046763</v>
      </c>
      <c r="E112" s="192">
        <f t="shared" si="1"/>
        <v>190.61802751454886</v>
      </c>
      <c r="F112" s="193">
        <f t="shared" si="2"/>
        <v>0.9530901375727443</v>
      </c>
    </row>
    <row r="113" spans="1:10" ht="26.25" customHeight="1">
      <c r="A113" s="77" t="s">
        <v>100</v>
      </c>
      <c r="B113" s="78">
        <v>1</v>
      </c>
      <c r="C113" s="194">
        <v>6</v>
      </c>
      <c r="D113" s="195">
        <v>145447359</v>
      </c>
      <c r="E113" s="196">
        <f t="shared" si="1"/>
        <v>166.9703653288349</v>
      </c>
      <c r="F113" s="197">
        <f t="shared" si="2"/>
        <v>0.83485182664417446</v>
      </c>
    </row>
    <row r="114" spans="1:10" ht="26.25" customHeight="1">
      <c r="A114" s="77" t="s">
        <v>101</v>
      </c>
      <c r="B114" s="78">
        <v>1</v>
      </c>
      <c r="C114" s="188"/>
      <c r="D114" s="107"/>
      <c r="E114" s="49"/>
      <c r="F114" s="198"/>
    </row>
    <row r="115" spans="1:10" ht="26.25" customHeight="1">
      <c r="A115" s="77" t="s">
        <v>102</v>
      </c>
      <c r="B115" s="78">
        <v>1</v>
      </c>
      <c r="C115" s="188"/>
      <c r="D115" s="199" t="s">
        <v>71</v>
      </c>
      <c r="E115" s="200">
        <f>AVERAGE(E108:E113)</f>
        <v>184.48486925130183</v>
      </c>
      <c r="F115" s="201">
        <f>AVERAGE(F108:F113)</f>
        <v>0.92242434625650915</v>
      </c>
    </row>
    <row r="116" spans="1:10" ht="27" customHeight="1" thickBot="1">
      <c r="A116" s="77" t="s">
        <v>103</v>
      </c>
      <c r="B116" s="89">
        <f>(B115/B114)*(B113/B112)*(B111/B110)*(B109/B108)*B107</f>
        <v>15000.000000000002</v>
      </c>
      <c r="C116" s="202"/>
      <c r="D116" s="61" t="s">
        <v>84</v>
      </c>
      <c r="E116" s="203">
        <f>STDEV(E108:E113)/E115</f>
        <v>7.5130692645413402E-2</v>
      </c>
      <c r="F116" s="203">
        <f>STDEV(F108:F113)/F115</f>
        <v>7.5130692645413416E-2</v>
      </c>
      <c r="I116" s="49"/>
    </row>
    <row r="117" spans="1:10" ht="27" customHeight="1" thickBot="1">
      <c r="A117" s="257" t="s">
        <v>78</v>
      </c>
      <c r="B117" s="261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49"/>
      <c r="J117" s="182"/>
    </row>
    <row r="118" spans="1:10" ht="19.5" customHeight="1" thickBot="1">
      <c r="A118" s="259"/>
      <c r="B118" s="262"/>
      <c r="C118" s="49"/>
      <c r="D118" s="49"/>
      <c r="E118" s="49"/>
      <c r="F118" s="107"/>
      <c r="G118" s="49"/>
      <c r="H118" s="49"/>
      <c r="I118" s="49"/>
    </row>
    <row r="119" spans="1:10" ht="18.75">
      <c r="A119" s="207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>
      <c r="A120" s="60" t="s">
        <v>106</v>
      </c>
      <c r="B120" s="61" t="s">
        <v>123</v>
      </c>
      <c r="C120" s="263" t="str">
        <f>B20</f>
        <v>Nevirapine USP</v>
      </c>
      <c r="D120" s="263"/>
      <c r="E120" s="49" t="s">
        <v>124</v>
      </c>
      <c r="F120" s="49"/>
      <c r="G120" s="158">
        <f>F115</f>
        <v>0.92242434625650915</v>
      </c>
      <c r="H120" s="49"/>
      <c r="I120" s="49"/>
    </row>
    <row r="121" spans="1:10" ht="19.5" customHeight="1" thickBot="1">
      <c r="A121" s="208"/>
      <c r="B121" s="208"/>
      <c r="C121" s="209"/>
      <c r="D121" s="209"/>
      <c r="E121" s="209"/>
      <c r="F121" s="209"/>
      <c r="G121" s="209"/>
      <c r="H121" s="209"/>
    </row>
    <row r="122" spans="1:10" ht="18.75">
      <c r="B122" s="264" t="s">
        <v>26</v>
      </c>
      <c r="C122" s="264"/>
      <c r="E122" s="161" t="s">
        <v>27</v>
      </c>
      <c r="F122" s="210"/>
      <c r="G122" s="264" t="s">
        <v>28</v>
      </c>
      <c r="H122" s="264"/>
    </row>
    <row r="123" spans="1:10" ht="69.95" customHeight="1">
      <c r="A123" s="60" t="s">
        <v>29</v>
      </c>
      <c r="B123" s="211"/>
      <c r="C123" s="211"/>
      <c r="E123" s="211"/>
      <c r="F123" s="49"/>
      <c r="G123" s="211"/>
      <c r="H123" s="211"/>
    </row>
    <row r="124" spans="1:10" ht="69.95" customHeight="1">
      <c r="A124" s="60" t="s">
        <v>30</v>
      </c>
      <c r="B124" s="212"/>
      <c r="C124" s="212"/>
      <c r="E124" s="212"/>
      <c r="F124" s="49"/>
      <c r="G124" s="213"/>
      <c r="H124" s="213"/>
    </row>
    <row r="125" spans="1:10" ht="18.75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0:H54"/>
  <sheetViews>
    <sheetView tabSelected="1" view="pageBreakPreview" topLeftCell="A37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8" t="s">
        <v>31</v>
      </c>
      <c r="B11" s="299"/>
      <c r="C11" s="299"/>
      <c r="D11" s="299"/>
      <c r="E11" s="299"/>
      <c r="F11" s="300"/>
      <c r="G11" s="41"/>
    </row>
    <row r="12" spans="1:7" ht="16.5" customHeight="1">
      <c r="A12" s="297" t="s">
        <v>32</v>
      </c>
      <c r="B12" s="297"/>
      <c r="C12" s="297"/>
      <c r="D12" s="297"/>
      <c r="E12" s="297"/>
      <c r="F12" s="297"/>
      <c r="G12" s="40"/>
    </row>
    <row r="14" spans="1:7" ht="16.5" customHeight="1">
      <c r="A14" s="302" t="s">
        <v>33</v>
      </c>
      <c r="B14" s="302"/>
      <c r="C14" s="10" t="s">
        <v>5</v>
      </c>
    </row>
    <row r="15" spans="1:7" ht="16.5" customHeight="1">
      <c r="A15" s="302" t="s">
        <v>34</v>
      </c>
      <c r="B15" s="302"/>
      <c r="C15" s="10" t="s">
        <v>7</v>
      </c>
    </row>
    <row r="16" spans="1:7" ht="16.5" customHeight="1">
      <c r="A16" s="302" t="s">
        <v>35</v>
      </c>
      <c r="B16" s="302"/>
      <c r="C16" s="10" t="s">
        <v>9</v>
      </c>
    </row>
    <row r="17" spans="1:5" ht="16.5" customHeight="1">
      <c r="A17" s="302" t="s">
        <v>36</v>
      </c>
      <c r="B17" s="302"/>
      <c r="C17" s="10" t="s">
        <v>11</v>
      </c>
    </row>
    <row r="18" spans="1:5" ht="16.5" customHeight="1">
      <c r="A18" s="302" t="s">
        <v>37</v>
      </c>
      <c r="B18" s="302"/>
      <c r="C18" s="47" t="s">
        <v>12</v>
      </c>
    </row>
    <row r="19" spans="1:5" ht="16.5" customHeight="1">
      <c r="A19" s="302" t="s">
        <v>38</v>
      </c>
      <c r="B19" s="302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297" t="s">
        <v>1</v>
      </c>
      <c r="B21" s="297"/>
      <c r="C21" s="9" t="s">
        <v>39</v>
      </c>
      <c r="D21" s="16"/>
    </row>
    <row r="22" spans="1:5" ht="15.75" customHeight="1">
      <c r="A22" s="301"/>
      <c r="B22" s="301"/>
      <c r="C22" s="7"/>
      <c r="D22" s="301"/>
      <c r="E22" s="301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362.7</v>
      </c>
      <c r="D24" s="37">
        <f t="shared" ref="D24:D43" si="0">(C24-$C$46)/$C$46</f>
        <v>-3.1962579322436036E-3</v>
      </c>
      <c r="E24" s="3"/>
    </row>
    <row r="25" spans="1:5" ht="15.75" customHeight="1">
      <c r="C25" s="45">
        <v>366.37</v>
      </c>
      <c r="D25" s="38">
        <f t="shared" si="0"/>
        <v>6.8899558350259916E-3</v>
      </c>
      <c r="E25" s="3"/>
    </row>
    <row r="26" spans="1:5" ht="15.75" customHeight="1">
      <c r="C26" s="45">
        <v>362.05</v>
      </c>
      <c r="D26" s="38">
        <f t="shared" si="0"/>
        <v>-4.9826445667735704E-3</v>
      </c>
      <c r="E26" s="3"/>
    </row>
    <row r="27" spans="1:5" ht="15.75" customHeight="1">
      <c r="C27" s="45">
        <v>370.02</v>
      </c>
      <c r="D27" s="38">
        <f t="shared" si="0"/>
        <v>1.6921203859694554E-2</v>
      </c>
      <c r="E27" s="3"/>
    </row>
    <row r="28" spans="1:5" ht="15.75" customHeight="1">
      <c r="C28" s="45">
        <v>367.25</v>
      </c>
      <c r="D28" s="38">
        <f t="shared" si="0"/>
        <v>9.3084485094666342E-3</v>
      </c>
      <c r="E28" s="3"/>
    </row>
    <row r="29" spans="1:5" ht="15.75" customHeight="1">
      <c r="C29" s="45">
        <v>360.73</v>
      </c>
      <c r="D29" s="38">
        <f t="shared" si="0"/>
        <v>-8.6103835784345339E-3</v>
      </c>
      <c r="E29" s="3"/>
    </row>
    <row r="30" spans="1:5" ht="15.75" customHeight="1">
      <c r="C30" s="45">
        <v>360.82</v>
      </c>
      <c r="D30" s="38">
        <f t="shared" si="0"/>
        <v>-8.363037736730446E-3</v>
      </c>
      <c r="E30" s="3"/>
    </row>
    <row r="31" spans="1:5" ht="15.75" customHeight="1">
      <c r="C31" s="45">
        <v>365.64</v>
      </c>
      <c r="D31" s="38">
        <f t="shared" si="0"/>
        <v>4.8837062300922159E-3</v>
      </c>
      <c r="E31" s="3"/>
    </row>
    <row r="32" spans="1:5" ht="15.75" customHeight="1">
      <c r="C32" s="45">
        <v>358.81</v>
      </c>
      <c r="D32" s="38">
        <f t="shared" si="0"/>
        <v>-1.3887094868123281E-2</v>
      </c>
      <c r="E32" s="3"/>
    </row>
    <row r="33" spans="1:7" ht="15.75" customHeight="1">
      <c r="C33" s="45">
        <v>365.74</v>
      </c>
      <c r="D33" s="38">
        <f t="shared" si="0"/>
        <v>5.1585349430968985E-3</v>
      </c>
      <c r="E33" s="3"/>
    </row>
    <row r="34" spans="1:7" ht="15.75" customHeight="1">
      <c r="C34" s="45">
        <v>364.32</v>
      </c>
      <c r="D34" s="38">
        <f t="shared" si="0"/>
        <v>1.2559672184312518E-3</v>
      </c>
      <c r="E34" s="3"/>
    </row>
    <row r="35" spans="1:7" ht="15.75" customHeight="1">
      <c r="C35" s="45">
        <v>363.16</v>
      </c>
      <c r="D35" s="38">
        <f t="shared" si="0"/>
        <v>-1.9320458524222518E-3</v>
      </c>
      <c r="E35" s="3"/>
    </row>
    <row r="36" spans="1:7" ht="15.75" customHeight="1">
      <c r="C36" s="45">
        <v>366.41</v>
      </c>
      <c r="D36" s="38">
        <f t="shared" si="0"/>
        <v>6.9998873202278952E-3</v>
      </c>
      <c r="E36" s="3"/>
    </row>
    <row r="37" spans="1:7" ht="15.75" customHeight="1">
      <c r="C37" s="45">
        <v>362.04</v>
      </c>
      <c r="D37" s="38">
        <f t="shared" si="0"/>
        <v>-5.0101274380740073E-3</v>
      </c>
      <c r="E37" s="3"/>
    </row>
    <row r="38" spans="1:7" ht="15.75" customHeight="1">
      <c r="C38" s="45">
        <v>365.37</v>
      </c>
      <c r="D38" s="38">
        <f t="shared" si="0"/>
        <v>4.1416687049797918E-3</v>
      </c>
      <c r="E38" s="3"/>
    </row>
    <row r="39" spans="1:7" ht="15.75" customHeight="1">
      <c r="C39" s="45">
        <v>362.24</v>
      </c>
      <c r="D39" s="38">
        <f t="shared" si="0"/>
        <v>-4.460470012064799E-3</v>
      </c>
      <c r="E39" s="3"/>
    </row>
    <row r="40" spans="1:7" ht="15.75" customHeight="1">
      <c r="C40" s="45">
        <v>365.11</v>
      </c>
      <c r="D40" s="38">
        <f t="shared" si="0"/>
        <v>3.4271140511678054E-3</v>
      </c>
      <c r="E40" s="3"/>
    </row>
    <row r="41" spans="1:7" ht="15.75" customHeight="1">
      <c r="C41" s="45">
        <v>355.86</v>
      </c>
      <c r="D41" s="38">
        <f t="shared" si="0"/>
        <v>-2.1994541901759538E-2</v>
      </c>
      <c r="E41" s="3"/>
    </row>
    <row r="42" spans="1:7" ht="15.75" customHeight="1">
      <c r="C42" s="45">
        <v>366.79</v>
      </c>
      <c r="D42" s="38">
        <f t="shared" si="0"/>
        <v>8.0442364296454388E-3</v>
      </c>
      <c r="E42" s="3"/>
    </row>
    <row r="43" spans="1:7" ht="16.5" customHeight="1">
      <c r="C43" s="46">
        <v>365.83</v>
      </c>
      <c r="D43" s="39">
        <f t="shared" si="0"/>
        <v>5.4058807848009873E-3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7277.2599999999993</v>
      </c>
      <c r="D45" s="28"/>
      <c r="E45" s="4"/>
    </row>
    <row r="46" spans="1:7" ht="17.25" customHeight="1">
      <c r="B46" s="32" t="s">
        <v>43</v>
      </c>
      <c r="C46" s="34">
        <f>AVERAGE(C24:C44)</f>
        <v>363.86299999999994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295">
        <f>C46</f>
        <v>363.86299999999994</v>
      </c>
      <c r="C49" s="43">
        <f>-IF(C46&lt;=80,10%,IF(C46&lt;250,7.5%,5%))</f>
        <v>-0.05</v>
      </c>
      <c r="D49" s="31">
        <f>IF(C46&lt;=80,C46*0.9,IF(C46&lt;250,C46*0.925,C46*0.95))</f>
        <v>345.66984999999994</v>
      </c>
    </row>
    <row r="50" spans="1:6" ht="17.25" customHeight="1">
      <c r="B50" s="296"/>
      <c r="C50" s="44">
        <f>IF(C46&lt;=80, 10%, IF(C46&lt;250, 7.5%, 5%))</f>
        <v>0.05</v>
      </c>
      <c r="D50" s="31">
        <f>IF(C46&lt;=80, C46*1.1, IF(C46&lt;250, C46*1.075, C46*1.05))</f>
        <v>382.05614999999995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Nevirapine (2)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2016-07-05T12:03:38Z</cp:lastPrinted>
  <dcterms:created xsi:type="dcterms:W3CDTF">2005-07-05T10:19:27Z</dcterms:created>
  <dcterms:modified xsi:type="dcterms:W3CDTF">2016-07-05T12:05:34Z</dcterms:modified>
</cp:coreProperties>
</file>