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SST Trimethoprim" sheetId="7" r:id="rId1"/>
    <sheet name="SST Sulfamethoxazole" sheetId="8" r:id="rId2"/>
    <sheet name="Uniformity" sheetId="6" r:id="rId3"/>
    <sheet name="Trimethoprim" sheetId="3" r:id="rId4"/>
    <sheet name="Sulphamethoxazole" sheetId="4" r:id="rId5"/>
  </sheets>
  <definedNames>
    <definedName name="_xlnm.Print_Area" localSheetId="1">'SST Sulfamethoxazole'!$A$15:$G$61</definedName>
    <definedName name="_xlnm.Print_Area" localSheetId="0">'SST Trimethoprim'!$A$15:$G$61</definedName>
    <definedName name="_xlnm.Print_Area" localSheetId="4">Sulphamethoxazole!$A$1:$I$124</definedName>
    <definedName name="_xlnm.Print_Area" localSheetId="3">Trimethoprim!$A$1:$I$124</definedName>
    <definedName name="_xlnm.Print_Area" localSheetId="2">Uniformity!$A$12:$F$54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C46" i="6"/>
  <c r="D50" i="6" s="1"/>
  <c r="C45" i="6"/>
  <c r="C19" i="6"/>
  <c r="D25" i="6" l="1"/>
  <c r="D41" i="6"/>
  <c r="B57" i="4"/>
  <c r="D29" i="6"/>
  <c r="D33" i="6"/>
  <c r="D37" i="6"/>
  <c r="B57" i="3"/>
  <c r="C50" i="6"/>
  <c r="D24" i="6"/>
  <c r="D28" i="6"/>
  <c r="D32" i="6"/>
  <c r="D36" i="6"/>
  <c r="D40" i="6"/>
  <c r="D49" i="6"/>
  <c r="D27" i="6"/>
  <c r="D31" i="6"/>
  <c r="D35" i="6"/>
  <c r="D39" i="6"/>
  <c r="D43" i="6"/>
  <c r="C49" i="6"/>
  <c r="D26" i="6"/>
  <c r="D30" i="6"/>
  <c r="D34" i="6"/>
  <c r="D38" i="6"/>
  <c r="D42" i="6"/>
  <c r="B49" i="6"/>
  <c r="B23" i="4" l="1"/>
  <c r="B22" i="4"/>
  <c r="F96" i="3"/>
  <c r="D96" i="3"/>
  <c r="F96" i="4"/>
  <c r="D96" i="4"/>
  <c r="D68" i="4"/>
  <c r="D64" i="4"/>
  <c r="D60" i="4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D48" i="4"/>
  <c r="B45" i="4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97" i="4" l="1"/>
  <c r="I92" i="4"/>
  <c r="I39" i="3"/>
  <c r="D97" i="3"/>
  <c r="D98" i="3" s="1"/>
  <c r="D101" i="3"/>
  <c r="D102" i="3" s="1"/>
  <c r="F97" i="3"/>
  <c r="F98" i="3" s="1"/>
  <c r="I92" i="3"/>
  <c r="D101" i="4"/>
  <c r="G94" i="4" s="1"/>
  <c r="I39" i="4"/>
  <c r="F44" i="3"/>
  <c r="F45" i="3" s="1"/>
  <c r="D49" i="3"/>
  <c r="D45" i="3"/>
  <c r="D46" i="3" s="1"/>
  <c r="D45" i="4"/>
  <c r="D46" i="4" s="1"/>
  <c r="D49" i="4"/>
  <c r="D98" i="4"/>
  <c r="F98" i="4"/>
  <c r="E94" i="3"/>
  <c r="F44" i="4"/>
  <c r="F45" i="4" s="1"/>
  <c r="G39" i="4" s="1"/>
  <c r="B69" i="3"/>
  <c r="G94" i="3"/>
  <c r="E41" i="4"/>
  <c r="B69" i="4"/>
  <c r="E40" i="4" l="1"/>
  <c r="G92" i="4"/>
  <c r="G93" i="3"/>
  <c r="E91" i="4"/>
  <c r="E92" i="3"/>
  <c r="E91" i="3"/>
  <c r="E94" i="4"/>
  <c r="G93" i="4"/>
  <c r="D102" i="4"/>
  <c r="E92" i="4"/>
  <c r="E39" i="4"/>
  <c r="E38" i="4"/>
  <c r="E38" i="3"/>
  <c r="E39" i="3"/>
  <c r="F46" i="3"/>
  <c r="G41" i="3"/>
  <c r="G39" i="3"/>
  <c r="E40" i="3"/>
  <c r="G38" i="3"/>
  <c r="E41" i="3"/>
  <c r="G40" i="3"/>
  <c r="G91" i="3"/>
  <c r="F99" i="3"/>
  <c r="G41" i="4"/>
  <c r="F46" i="4"/>
  <c r="G92" i="3"/>
  <c r="G91" i="4"/>
  <c r="F99" i="4"/>
  <c r="G38" i="4"/>
  <c r="G40" i="4"/>
  <c r="D99" i="3"/>
  <c r="E93" i="3"/>
  <c r="D99" i="4"/>
  <c r="E93" i="4"/>
  <c r="E42" i="4" l="1"/>
  <c r="D103" i="3"/>
  <c r="E113" i="3" s="1"/>
  <c r="F113" i="3" s="1"/>
  <c r="G95" i="4"/>
  <c r="E95" i="3"/>
  <c r="D105" i="4"/>
  <c r="D50" i="4"/>
  <c r="G68" i="4" s="1"/>
  <c r="H68" i="4" s="1"/>
  <c r="D50" i="3"/>
  <c r="G71" i="3" s="1"/>
  <c r="H71" i="3" s="1"/>
  <c r="E42" i="3"/>
  <c r="G42" i="3"/>
  <c r="G95" i="3"/>
  <c r="D52" i="3"/>
  <c r="E95" i="4"/>
  <c r="G42" i="4"/>
  <c r="D103" i="4"/>
  <c r="E113" i="4" s="1"/>
  <c r="F113" i="4" s="1"/>
  <c r="D105" i="3"/>
  <c r="D52" i="4"/>
  <c r="G68" i="3" l="1"/>
  <c r="H68" i="3" s="1"/>
  <c r="E108" i="3"/>
  <c r="F108" i="3" s="1"/>
  <c r="D104" i="3"/>
  <c r="E110" i="3"/>
  <c r="F110" i="3" s="1"/>
  <c r="E109" i="3"/>
  <c r="F109" i="3" s="1"/>
  <c r="E111" i="3"/>
  <c r="F111" i="3" s="1"/>
  <c r="E112" i="3"/>
  <c r="F112" i="3" s="1"/>
  <c r="D104" i="4"/>
  <c r="E110" i="4"/>
  <c r="F110" i="4" s="1"/>
  <c r="E109" i="4"/>
  <c r="F109" i="4" s="1"/>
  <c r="E112" i="4"/>
  <c r="F112" i="4" s="1"/>
  <c r="E111" i="4"/>
  <c r="F111" i="4" s="1"/>
  <c r="E108" i="4"/>
  <c r="F108" i="4" s="1"/>
  <c r="G67" i="4"/>
  <c r="H67" i="4" s="1"/>
  <c r="D51" i="4"/>
  <c r="G66" i="4"/>
  <c r="H66" i="4" s="1"/>
  <c r="G69" i="4"/>
  <c r="H69" i="4" s="1"/>
  <c r="G63" i="4"/>
  <c r="H63" i="4" s="1"/>
  <c r="G60" i="4"/>
  <c r="H60" i="4" s="1"/>
  <c r="G71" i="4"/>
  <c r="H71" i="4" s="1"/>
  <c r="G65" i="4"/>
  <c r="H65" i="4" s="1"/>
  <c r="G62" i="4"/>
  <c r="H62" i="4" s="1"/>
  <c r="G61" i="4"/>
  <c r="H61" i="4" s="1"/>
  <c r="G70" i="4"/>
  <c r="H70" i="4" s="1"/>
  <c r="G64" i="4"/>
  <c r="H64" i="4" s="1"/>
  <c r="G61" i="3"/>
  <c r="H61" i="3" s="1"/>
  <c r="G63" i="3"/>
  <c r="H63" i="3" s="1"/>
  <c r="G70" i="3"/>
  <c r="H70" i="3" s="1"/>
  <c r="G66" i="3"/>
  <c r="H66" i="3" s="1"/>
  <c r="D51" i="3"/>
  <c r="G69" i="3"/>
  <c r="H69" i="3" s="1"/>
  <c r="G65" i="3"/>
  <c r="H65" i="3" s="1"/>
  <c r="G62" i="3"/>
  <c r="H62" i="3" s="1"/>
  <c r="G60" i="3"/>
  <c r="H60" i="3" s="1"/>
  <c r="G67" i="3"/>
  <c r="H67" i="3" s="1"/>
  <c r="G64" i="3"/>
  <c r="H64" i="3" s="1"/>
  <c r="E117" i="3" l="1"/>
  <c r="E115" i="3"/>
  <c r="E116" i="3" s="1"/>
  <c r="E117" i="4"/>
  <c r="E115" i="4"/>
  <c r="E116" i="4" s="1"/>
  <c r="G74" i="4"/>
  <c r="G72" i="4"/>
  <c r="G73" i="4" s="1"/>
  <c r="G72" i="3"/>
  <c r="G73" i="3" s="1"/>
  <c r="G74" i="3"/>
  <c r="F117" i="3"/>
  <c r="F115" i="3"/>
  <c r="H74" i="3"/>
  <c r="H72" i="3"/>
  <c r="H74" i="4"/>
  <c r="H72" i="4"/>
  <c r="F117" i="4"/>
  <c r="F115" i="4"/>
  <c r="G76" i="4" l="1"/>
  <c r="H73" i="4"/>
  <c r="G120" i="3"/>
  <c r="F116" i="3"/>
  <c r="G120" i="4"/>
  <c r="F116" i="4"/>
  <c r="G76" i="3"/>
  <c r="H73" i="3"/>
</calcChain>
</file>

<file path=xl/sharedStrings.xml><?xml version="1.0" encoding="utf-8"?>
<sst xmlns="http://schemas.openxmlformats.org/spreadsheetml/2006/main" count="440" uniqueCount="135">
  <si>
    <t>HPLC System Suitability Report</t>
  </si>
  <si>
    <t>Analysis Data</t>
  </si>
  <si>
    <t>Assay</t>
  </si>
  <si>
    <t>Sample(s)</t>
  </si>
  <si>
    <t>Reference Substance:</t>
  </si>
  <si>
    <t>SULFRAN -DS TABLETS</t>
  </si>
  <si>
    <t>% age Purity:</t>
  </si>
  <si>
    <t>Weight (mg):</t>
  </si>
  <si>
    <t>Standard Conc (mg/mL):</t>
  </si>
  <si>
    <t xml:space="preserve">Each tablet contains: Sulphamethoxazole B.P. 800 mg and Trimethoprim B.P. 160 mg.
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</si>
  <si>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</si>
  <si>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</si>
  <si>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</si>
  <si>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</si>
  <si>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</si>
  <si>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</si>
  <si>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</si>
  <si>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</si>
  <si>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</si>
  <si>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</si>
  <si>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</si>
  <si>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</si>
  <si>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</si>
  <si>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</si>
  <si>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</si>
  <si>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</si>
  <si>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</si>
  <si>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</si>
  <si>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</si>
  <si>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</si>
  <si>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</si>
  <si>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</si>
  <si>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</si>
  <si>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</si>
  <si>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</si>
  <si>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</si>
  <si>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</si>
  <si>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</si>
  <si>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</si>
  <si>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</si>
  <si>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</si>
  <si>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</si>
  <si>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</si>
  <si>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</si>
  <si>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</si>
  <si>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</si>
  <si>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</si>
  <si>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</si>
  <si>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</si>
  <si>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</si>
  <si>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</si>
  <si>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</si>
  <si>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</si>
  <si>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</si>
  <si>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</si>
  <si>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</si>
  <si>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</si>
  <si>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</si>
  <si>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</si>
  <si>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</si>
  <si>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</si>
  <si>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</si>
  <si>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</si>
  <si>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</si>
  <si>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</si>
  <si>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</si>
  <si>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</si>
  <si>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</si>
  <si>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</si>
  <si>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</si>
  <si>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</si>
  <si>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</si>
  <si>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</si>
  <si>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</si>
  <si>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</si>
  <si>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</si>
  <si>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</si>
  <si>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</si>
  <si>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</si>
  <si>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</si>
  <si>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</si>
  <si>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</si>
  <si>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</si>
  <si>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</si>
  <si>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</si>
  <si>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</si>
  <si>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</si>
  <si>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</si>
  <si>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</si>
  <si>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</si>
  <si>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</si>
  <si>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</si>
  <si>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</si>
  <si>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</si>
  <si>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</si>
  <si>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</si>
  <si>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</si>
  <si>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</si>
  <si>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</si>
  <si>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</si>
  <si>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</si>
  <si>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</si>
  <si>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</si>
  <si>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</si>
  <si>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</si>
  <si>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</si>
  <si>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</si>
  <si>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</si>
  <si>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</si>
  <si>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</si>
  <si>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</si>
  <si>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</si>
  <si>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</si>
  <si>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</si>
  <si>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</si>
  <si>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</si>
  <si>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</si>
  <si>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</si>
  <si>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</si>
  <si>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Sulphamethoxazole</t>
  </si>
  <si>
    <t>Trimethoprim</t>
  </si>
  <si>
    <t xml:space="preserve">Sulfamethoxazole BP </t>
  </si>
  <si>
    <t>Trimethoprim BP</t>
  </si>
  <si>
    <t>SULFRAN DS TABLETS</t>
  </si>
  <si>
    <t>NDQB2016061165</t>
  </si>
  <si>
    <t>each tablets contains sulphamethoxazole 800mg Trimethoprim 160mg.</t>
  </si>
  <si>
    <t>Each tablet contains: Sulphamethoxazole B.P. 800 mg and Trimethoprim B.P. 160 mg.</t>
  </si>
  <si>
    <t>2016-06-09 11:47:31</t>
  </si>
  <si>
    <t>T7 3</t>
  </si>
  <si>
    <t>S12 5</t>
  </si>
  <si>
    <t>2016-06-20 10:31:20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</si>
  <si>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</si>
  <si>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</si>
  <si>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</si>
  <si>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Sulfamethoxazole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</si>
</sst>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9" x14ac:knownFonts="1">
    <font>
      <sz val="10"/>
      <color rgb="FF000000"/>
      <name val="Arial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8" fillId="2" borderId="0"/>
    <xf numFmtId="0" fontId="18" fillId="2" borderId="0"/>
    <xf numFmtId="0" fontId="28" fillId="2" borderId="0"/>
    <xf numFmtId="0" fontId="18" fillId="2" borderId="0"/>
  </cellStyleXfs>
  <cellXfs count="542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5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8" fillId="3" borderId="0" xfId="0" applyFont="1" applyFill="1" applyAlignment="1" applyProtection="1">
      <alignment horizontal="left"/>
      <protection locked="0"/>
    </xf>
    <xf numFmtId="0" fontId="5" fillId="3" borderId="0" xfId="0" applyFont="1" applyFill="1" applyProtection="1">
      <protection locked="0"/>
    </xf>
    <xf numFmtId="168" fontId="8" fillId="3" borderId="0" xfId="0" applyNumberFormat="1" applyFont="1" applyFill="1" applyAlignment="1" applyProtection="1">
      <alignment horizontal="center"/>
      <protection locked="0"/>
    </xf>
    <xf numFmtId="169" fontId="5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0" fontId="6" fillId="2" borderId="0" xfId="0" applyFont="1" applyFill="1" applyAlignment="1">
      <alignment vertical="center" wrapText="1"/>
    </xf>
    <xf numFmtId="0" fontId="12" fillId="2" borderId="0" xfId="0" applyFont="1" applyFill="1"/>
    <xf numFmtId="2" fontId="6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70" fontId="6" fillId="2" borderId="0" xfId="0" applyNumberFormat="1" applyFont="1" applyFill="1" applyAlignment="1">
      <alignment horizontal="center"/>
    </xf>
    <xf numFmtId="0" fontId="5" fillId="2" borderId="21" xfId="0" applyFont="1" applyFill="1" applyBorder="1" applyAlignment="1">
      <alignment horizontal="right"/>
    </xf>
    <xf numFmtId="0" fontId="7" fillId="3" borderId="22" xfId="0" applyFont="1" applyFill="1" applyBorder="1" applyAlignment="1" applyProtection="1">
      <alignment horizontal="center"/>
      <protection locked="0"/>
    </xf>
    <xf numFmtId="0" fontId="5" fillId="2" borderId="23" xfId="0" applyFont="1" applyFill="1" applyBorder="1" applyAlignment="1">
      <alignment horizontal="right"/>
    </xf>
    <xf numFmtId="0" fontId="7" fillId="3" borderId="24" xfId="0" applyFont="1" applyFill="1" applyBorder="1" applyAlignment="1" applyProtection="1">
      <alignment horizontal="center"/>
      <protection locked="0"/>
    </xf>
    <xf numFmtId="0" fontId="6" fillId="2" borderId="22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7" fillId="3" borderId="29" xfId="0" applyFont="1" applyFill="1" applyBorder="1" applyAlignment="1" applyProtection="1">
      <alignment horizontal="center"/>
      <protection locked="0"/>
    </xf>
    <xf numFmtId="171" fontId="5" fillId="2" borderId="26" xfId="0" applyNumberFormat="1" applyFont="1" applyFill="1" applyBorder="1" applyAlignment="1">
      <alignment horizontal="center"/>
    </xf>
    <xf numFmtId="171" fontId="5" fillId="2" borderId="30" xfId="0" applyNumberFormat="1" applyFont="1" applyFill="1" applyBorder="1" applyAlignment="1">
      <alignment horizontal="center"/>
    </xf>
    <xf numFmtId="0" fontId="12" fillId="2" borderId="13" xfId="0" applyFont="1" applyFill="1" applyBorder="1"/>
    <xf numFmtId="0" fontId="5" fillId="2" borderId="24" xfId="0" applyFont="1" applyFill="1" applyBorder="1" applyAlignment="1">
      <alignment horizontal="center"/>
    </xf>
    <xf numFmtId="0" fontId="7" fillId="3" borderId="23" xfId="0" applyFont="1" applyFill="1" applyBorder="1" applyAlignment="1" applyProtection="1">
      <alignment horizontal="center"/>
      <protection locked="0"/>
    </xf>
    <xf numFmtId="171" fontId="5" fillId="2" borderId="31" xfId="0" applyNumberFormat="1" applyFont="1" applyFill="1" applyBorder="1" applyAlignment="1">
      <alignment horizontal="center"/>
    </xf>
    <xf numFmtId="171" fontId="5" fillId="2" borderId="32" xfId="0" applyNumberFormat="1" applyFont="1" applyFill="1" applyBorder="1" applyAlignment="1">
      <alignment horizontal="center"/>
    </xf>
    <xf numFmtId="0" fontId="5" fillId="2" borderId="0" xfId="0" applyFont="1" applyFill="1"/>
    <xf numFmtId="0" fontId="5" fillId="2" borderId="33" xfId="0" applyFont="1" applyFill="1" applyBorder="1" applyAlignment="1">
      <alignment horizontal="center"/>
    </xf>
    <xf numFmtId="0" fontId="7" fillId="3" borderId="34" xfId="0" applyFont="1" applyFill="1" applyBorder="1" applyAlignment="1" applyProtection="1">
      <alignment horizontal="center"/>
      <protection locked="0"/>
    </xf>
    <xf numFmtId="171" fontId="5" fillId="2" borderId="35" xfId="0" applyNumberFormat="1" applyFont="1" applyFill="1" applyBorder="1" applyAlignment="1">
      <alignment horizontal="center"/>
    </xf>
    <xf numFmtId="171" fontId="5" fillId="2" borderId="36" xfId="0" applyNumberFormat="1" applyFont="1" applyFill="1" applyBorder="1" applyAlignment="1">
      <alignment horizontal="center"/>
    </xf>
    <xf numFmtId="0" fontId="5" fillId="2" borderId="15" xfId="0" applyFont="1" applyFill="1" applyBorder="1"/>
    <xf numFmtId="0" fontId="5" fillId="2" borderId="24" xfId="0" applyFont="1" applyFill="1" applyBorder="1" applyAlignment="1">
      <alignment horizontal="right"/>
    </xf>
    <xf numFmtId="1" fontId="6" fillId="6" borderId="37" xfId="0" applyNumberFormat="1" applyFont="1" applyFill="1" applyBorder="1" applyAlignment="1">
      <alignment horizontal="center"/>
    </xf>
    <xf numFmtId="171" fontId="6" fillId="6" borderId="38" xfId="0" applyNumberFormat="1" applyFont="1" applyFill="1" applyBorder="1" applyAlignment="1">
      <alignment horizontal="center"/>
    </xf>
    <xf numFmtId="171" fontId="6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2" borderId="40" xfId="0" applyFont="1" applyFill="1" applyBorder="1" applyAlignment="1">
      <alignment horizontal="right"/>
    </xf>
    <xf numFmtId="0" fontId="7" fillId="3" borderId="16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>
      <alignment horizontal="right"/>
    </xf>
    <xf numFmtId="2" fontId="5" fillId="6" borderId="4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4" xfId="0" applyFont="1" applyFill="1" applyBorder="1" applyAlignment="1">
      <alignment horizontal="center"/>
    </xf>
    <xf numFmtId="2" fontId="5" fillId="7" borderId="41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center"/>
    </xf>
    <xf numFmtId="166" fontId="5" fillId="6" borderId="41" xfId="0" applyNumberFormat="1" applyFont="1" applyFill="1" applyBorder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6" fontId="5" fillId="6" borderId="17" xfId="0" applyNumberFormat="1" applyFont="1" applyFill="1" applyBorder="1" applyAlignment="1">
      <alignment horizontal="center"/>
    </xf>
    <xf numFmtId="0" fontId="5" fillId="2" borderId="42" xfId="0" applyFont="1" applyFill="1" applyBorder="1" applyAlignment="1">
      <alignment horizontal="right"/>
    </xf>
    <xf numFmtId="166" fontId="7" fillId="3" borderId="41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/>
    <xf numFmtId="0" fontId="5" fillId="2" borderId="29" xfId="0" applyFont="1" applyFill="1" applyBorder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right"/>
    </xf>
    <xf numFmtId="2" fontId="5" fillId="6" borderId="15" xfId="0" applyNumberFormat="1" applyFont="1" applyFill="1" applyBorder="1" applyAlignment="1">
      <alignment horizontal="center"/>
    </xf>
    <xf numFmtId="171" fontId="6" fillId="7" borderId="13" xfId="0" applyNumberFormat="1" applyFont="1" applyFill="1" applyBorder="1" applyAlignment="1">
      <alignment horizontal="center"/>
    </xf>
    <xf numFmtId="171" fontId="5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2" borderId="43" xfId="0" applyFont="1" applyFill="1" applyBorder="1" applyAlignment="1">
      <alignment horizontal="right"/>
    </xf>
    <xf numFmtId="0" fontId="5" fillId="7" borderId="15" xfId="0" applyFont="1" applyFill="1" applyBorder="1" applyAlignment="1">
      <alignment horizontal="center"/>
    </xf>
    <xf numFmtId="0" fontId="2" fillId="2" borderId="0" xfId="0" applyFont="1" applyFill="1"/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72" fontId="7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  <protection locked="0"/>
    </xf>
    <xf numFmtId="10" fontId="5" fillId="2" borderId="13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 applyProtection="1">
      <alignment horizontal="center"/>
      <protection locked="0"/>
    </xf>
    <xf numFmtId="0" fontId="5" fillId="2" borderId="15" xfId="0" applyFont="1" applyFill="1" applyBorder="1" applyAlignment="1">
      <alignment horizontal="center"/>
    </xf>
    <xf numFmtId="0" fontId="7" fillId="3" borderId="43" xfId="0" applyFont="1" applyFill="1" applyBorder="1" applyAlignment="1" applyProtection="1">
      <alignment horizontal="center"/>
      <protection locked="0"/>
    </xf>
    <xf numFmtId="10" fontId="5" fillId="2" borderId="22" xfId="0" applyNumberFormat="1" applyFont="1" applyFill="1" applyBorder="1" applyAlignment="1">
      <alignment horizontal="center" vertical="center"/>
    </xf>
    <xf numFmtId="10" fontId="5" fillId="2" borderId="24" xfId="0" applyNumberFormat="1" applyFont="1" applyFill="1" applyBorder="1" applyAlignment="1">
      <alignment horizontal="center" vertical="center"/>
    </xf>
    <xf numFmtId="10" fontId="5" fillId="2" borderId="44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/>
    </xf>
    <xf numFmtId="2" fontId="8" fillId="2" borderId="4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45" xfId="0" applyFont="1" applyFill="1" applyBorder="1" applyAlignment="1">
      <alignment horizontal="right"/>
    </xf>
    <xf numFmtId="10" fontId="7" fillId="7" borderId="33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0" fontId="5" fillId="2" borderId="17" xfId="0" applyFont="1" applyFill="1" applyBorder="1" applyAlignment="1">
      <alignment horizontal="right"/>
    </xf>
    <xf numFmtId="0" fontId="7" fillId="7" borderId="46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7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6" fillId="6" borderId="49" xfId="0" applyNumberFormat="1" applyFont="1" applyFill="1" applyBorder="1" applyAlignment="1">
      <alignment horizontal="center"/>
    </xf>
    <xf numFmtId="1" fontId="6" fillId="6" borderId="50" xfId="0" applyNumberFormat="1" applyFont="1" applyFill="1" applyBorder="1" applyAlignment="1">
      <alignment horizontal="center"/>
    </xf>
    <xf numFmtId="171" fontId="6" fillId="6" borderId="15" xfId="0" applyNumberFormat="1" applyFont="1" applyFill="1" applyBorder="1" applyAlignment="1">
      <alignment horizontal="center"/>
    </xf>
    <xf numFmtId="0" fontId="5" fillId="2" borderId="51" xfId="0" applyFont="1" applyFill="1" applyBorder="1" applyAlignment="1">
      <alignment horizontal="right"/>
    </xf>
    <xf numFmtId="0" fontId="7" fillId="3" borderId="52" xfId="0" applyFont="1" applyFill="1" applyBorder="1" applyAlignment="1" applyProtection="1">
      <alignment horizontal="center"/>
      <protection locked="0"/>
    </xf>
    <xf numFmtId="0" fontId="5" fillId="2" borderId="25" xfId="0" applyFont="1" applyFill="1" applyBorder="1" applyAlignment="1">
      <alignment horizontal="right"/>
    </xf>
    <xf numFmtId="2" fontId="5" fillId="6" borderId="27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2" fontId="5" fillId="7" borderId="27" xfId="0" applyNumberFormat="1" applyFont="1" applyFill="1" applyBorder="1" applyAlignment="1">
      <alignment horizontal="center"/>
    </xf>
    <xf numFmtId="166" fontId="5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5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5" fillId="2" borderId="53" xfId="0" applyFont="1" applyFill="1" applyBorder="1" applyAlignment="1">
      <alignment horizontal="right"/>
    </xf>
    <xf numFmtId="2" fontId="5" fillId="7" borderId="30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5" fillId="2" borderId="16" xfId="0" applyFont="1" applyFill="1" applyBorder="1" applyAlignment="1">
      <alignment horizontal="right"/>
    </xf>
    <xf numFmtId="171" fontId="6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6" fillId="6" borderId="41" xfId="0" applyNumberFormat="1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6" fillId="2" borderId="54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1" fontId="7" fillId="3" borderId="31" xfId="0" applyNumberFormat="1" applyFont="1" applyFill="1" applyBorder="1" applyAlignment="1" applyProtection="1">
      <alignment horizontal="center"/>
      <protection locked="0"/>
    </xf>
    <xf numFmtId="10" fontId="5" fillId="2" borderId="30" xfId="0" applyNumberFormat="1" applyFont="1" applyFill="1" applyBorder="1" applyAlignment="1">
      <alignment horizontal="center"/>
    </xf>
    <xf numFmtId="10" fontId="5" fillId="2" borderId="32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" fontId="7" fillId="3" borderId="35" xfId="0" applyNumberFormat="1" applyFont="1" applyFill="1" applyBorder="1" applyAlignment="1" applyProtection="1">
      <alignment horizontal="center"/>
      <protection locked="0"/>
    </xf>
    <xf numFmtId="10" fontId="5" fillId="2" borderId="36" xfId="0" applyNumberFormat="1" applyFont="1" applyFill="1" applyBorder="1" applyAlignment="1">
      <alignment horizontal="center"/>
    </xf>
    <xf numFmtId="2" fontId="5" fillId="2" borderId="24" xfId="0" applyNumberFormat="1" applyFont="1" applyFill="1" applyBorder="1" applyAlignment="1">
      <alignment horizontal="center"/>
    </xf>
    <xf numFmtId="171" fontId="5" fillId="2" borderId="2" xfId="0" applyNumberFormat="1" applyFont="1" applyFill="1" applyBorder="1" applyAlignment="1">
      <alignment horizontal="right"/>
    </xf>
    <xf numFmtId="10" fontId="7" fillId="7" borderId="27" xfId="0" applyNumberFormat="1" applyFont="1" applyFill="1" applyBorder="1" applyAlignment="1">
      <alignment horizontal="center"/>
    </xf>
    <xf numFmtId="0" fontId="5" fillId="2" borderId="23" xfId="0" applyFont="1" applyFill="1" applyBorder="1"/>
    <xf numFmtId="10" fontId="7" fillId="6" borderId="27" xfId="0" applyNumberFormat="1" applyFont="1" applyFill="1" applyBorder="1" applyAlignment="1">
      <alignment horizontal="center"/>
    </xf>
    <xf numFmtId="0" fontId="5" fillId="2" borderId="43" xfId="0" applyFont="1" applyFill="1" applyBorder="1"/>
    <xf numFmtId="0" fontId="5" fillId="2" borderId="56" xfId="0" applyFont="1" applyFill="1" applyBorder="1" applyAlignment="1">
      <alignment horizontal="right"/>
    </xf>
    <xf numFmtId="0" fontId="7" fillId="7" borderId="1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left" vertical="center" wrapText="1"/>
    </xf>
    <xf numFmtId="0" fontId="5" fillId="2" borderId="9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7" xfId="0" applyFont="1" applyFill="1" applyBorder="1"/>
    <xf numFmtId="0" fontId="6" fillId="2" borderId="11" xfId="0" applyFont="1" applyFill="1" applyBorder="1"/>
    <xf numFmtId="0" fontId="5" fillId="2" borderId="11" xfId="0" applyFont="1" applyFill="1" applyBorder="1"/>
    <xf numFmtId="0" fontId="13" fillId="2" borderId="0" xfId="0" applyFont="1" applyFill="1" applyAlignment="1">
      <alignment horizontal="right" vertical="center" wrapText="1"/>
    </xf>
    <xf numFmtId="0" fontId="7" fillId="2" borderId="0" xfId="0" applyFont="1" applyFill="1" applyAlignment="1" applyProtection="1">
      <alignment horizontal="right"/>
      <protection locked="0"/>
    </xf>
    <xf numFmtId="166" fontId="6" fillId="2" borderId="0" xfId="0" applyNumberFormat="1" applyFont="1" applyFill="1" applyAlignment="1" applyProtection="1">
      <alignment horizontal="center"/>
      <protection locked="0"/>
    </xf>
    <xf numFmtId="166" fontId="5" fillId="2" borderId="21" xfId="0" applyNumberFormat="1" applyFont="1" applyFill="1" applyBorder="1" applyAlignment="1">
      <alignment horizontal="center"/>
    </xf>
    <xf numFmtId="166" fontId="5" fillId="2" borderId="23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/>
    </xf>
    <xf numFmtId="166" fontId="5" fillId="2" borderId="14" xfId="0" applyNumberFormat="1" applyFont="1" applyFill="1" applyBorder="1" applyAlignment="1">
      <alignment horizontal="center"/>
    </xf>
    <xf numFmtId="166" fontId="5" fillId="2" borderId="15" xfId="0" applyNumberFormat="1" applyFont="1" applyFill="1" applyBorder="1" applyAlignment="1">
      <alignment horizontal="center"/>
    </xf>
    <xf numFmtId="10" fontId="7" fillId="6" borderId="57" xfId="0" applyNumberFormat="1" applyFont="1" applyFill="1" applyBorder="1" applyAlignment="1">
      <alignment horizontal="center"/>
    </xf>
    <xf numFmtId="166" fontId="5" fillId="2" borderId="26" xfId="0" applyNumberFormat="1" applyFont="1" applyFill="1" applyBorder="1" applyAlignment="1">
      <alignment horizontal="center"/>
    </xf>
    <xf numFmtId="166" fontId="5" fillId="2" borderId="31" xfId="0" applyNumberFormat="1" applyFont="1" applyFill="1" applyBorder="1" applyAlignment="1">
      <alignment horizontal="center"/>
    </xf>
    <xf numFmtId="166" fontId="5" fillId="2" borderId="35" xfId="0" applyNumberFormat="1" applyFont="1" applyFill="1" applyBorder="1" applyAlignment="1">
      <alignment horizontal="center"/>
    </xf>
    <xf numFmtId="2" fontId="7" fillId="7" borderId="33" xfId="0" applyNumberFormat="1" applyFont="1" applyFill="1" applyBorder="1" applyAlignment="1">
      <alignment horizontal="center"/>
    </xf>
    <xf numFmtId="2" fontId="7" fillId="7" borderId="27" xfId="0" applyNumberFormat="1" applyFont="1" applyFill="1" applyBorder="1" applyAlignment="1">
      <alignment horizontal="center"/>
    </xf>
    <xf numFmtId="0" fontId="8" fillId="2" borderId="0" xfId="0" applyFont="1" applyFill="1"/>
    <xf numFmtId="0" fontId="19" fillId="2" borderId="0" xfId="1" applyFont="1" applyFill="1"/>
    <xf numFmtId="0" fontId="20" fillId="2" borderId="0" xfId="1" applyFont="1" applyFill="1" applyAlignment="1">
      <alignment wrapText="1"/>
    </xf>
    <xf numFmtId="0" fontId="21" fillId="2" borderId="0" xfId="1" applyFont="1" applyFill="1"/>
    <xf numFmtId="0" fontId="23" fillId="2" borderId="0" xfId="1" applyFont="1" applyFill="1"/>
    <xf numFmtId="167" fontId="23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right"/>
    </xf>
    <xf numFmtId="167" fontId="23" fillId="2" borderId="0" xfId="1" applyNumberFormat="1" applyFont="1" applyFill="1"/>
    <xf numFmtId="0" fontId="21" fillId="2" borderId="0" xfId="1" applyFont="1" applyFill="1" applyAlignment="1">
      <alignment horizontal="left"/>
    </xf>
    <xf numFmtId="0" fontId="24" fillId="2" borderId="0" xfId="1" applyFont="1" applyFill="1"/>
    <xf numFmtId="164" fontId="19" fillId="2" borderId="0" xfId="1" applyNumberFormat="1" applyFont="1" applyFill="1"/>
    <xf numFmtId="164" fontId="22" fillId="2" borderId="12" xfId="1" applyNumberFormat="1" applyFont="1" applyFill="1" applyBorder="1" applyAlignment="1">
      <alignment horizontal="center" wrapText="1"/>
    </xf>
    <xf numFmtId="0" fontId="22" fillId="2" borderId="12" xfId="1" applyFont="1" applyFill="1" applyBorder="1" applyAlignment="1">
      <alignment horizontal="center" wrapText="1"/>
    </xf>
    <xf numFmtId="0" fontId="25" fillId="2" borderId="0" xfId="1" applyFont="1" applyFill="1" applyAlignment="1">
      <alignment horizontal="center"/>
    </xf>
    <xf numFmtId="2" fontId="23" fillId="3" borderId="14" xfId="1" applyNumberFormat="1" applyFont="1" applyFill="1" applyBorder="1" applyProtection="1">
      <protection locked="0"/>
    </xf>
    <xf numFmtId="10" fontId="23" fillId="2" borderId="13" xfId="1" applyNumberFormat="1" applyFont="1" applyFill="1" applyBorder="1" applyAlignment="1">
      <alignment horizontal="center"/>
    </xf>
    <xf numFmtId="10" fontId="23" fillId="2" borderId="0" xfId="1" applyNumberFormat="1" applyFont="1" applyFill="1" applyAlignment="1">
      <alignment horizontal="center"/>
    </xf>
    <xf numFmtId="10" fontId="23" fillId="2" borderId="14" xfId="1" applyNumberFormat="1" applyFont="1" applyFill="1" applyBorder="1" applyAlignment="1">
      <alignment horizontal="center"/>
    </xf>
    <xf numFmtId="2" fontId="23" fillId="3" borderId="15" xfId="1" applyNumberFormat="1" applyFont="1" applyFill="1" applyBorder="1" applyProtection="1">
      <protection locked="0"/>
    </xf>
    <xf numFmtId="10" fontId="23" fillId="2" borderId="15" xfId="1" applyNumberFormat="1" applyFont="1" applyFill="1" applyBorder="1" applyAlignment="1">
      <alignment horizontal="center"/>
    </xf>
    <xf numFmtId="166" fontId="25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0" fontId="23" fillId="2" borderId="12" xfId="1" applyFont="1" applyFill="1" applyBorder="1" applyAlignment="1">
      <alignment horizontal="right" vertical="center"/>
    </xf>
    <xf numFmtId="166" fontId="23" fillId="2" borderId="12" xfId="1" applyNumberFormat="1" applyFont="1" applyFill="1" applyBorder="1" applyAlignment="1">
      <alignment horizontal="center" vertical="center"/>
    </xf>
    <xf numFmtId="166" fontId="23" fillId="2" borderId="0" xfId="1" applyNumberFormat="1" applyFont="1" applyFill="1" applyAlignment="1">
      <alignment horizontal="center"/>
    </xf>
    <xf numFmtId="164" fontId="22" fillId="2" borderId="12" xfId="1" applyNumberFormat="1" applyFont="1" applyFill="1" applyBorder="1" applyAlignment="1">
      <alignment horizontal="center" vertical="center"/>
    </xf>
    <xf numFmtId="2" fontId="26" fillId="2" borderId="0" xfId="1" applyNumberFormat="1" applyFont="1" applyFill="1" applyAlignment="1">
      <alignment horizontal="right"/>
    </xf>
    <xf numFmtId="2" fontId="22" fillId="2" borderId="0" xfId="1" applyNumberFormat="1" applyFont="1" applyFill="1"/>
    <xf numFmtId="2" fontId="26" fillId="2" borderId="0" xfId="1" applyNumberFormat="1" applyFont="1" applyFill="1"/>
    <xf numFmtId="0" fontId="22" fillId="2" borderId="12" xfId="1" applyFont="1" applyFill="1" applyBorder="1" applyAlignment="1">
      <alignment horizontal="center" vertical="center"/>
    </xf>
    <xf numFmtId="10" fontId="25" fillId="2" borderId="0" xfId="1" applyNumberFormat="1" applyFont="1" applyFill="1"/>
    <xf numFmtId="165" fontId="22" fillId="2" borderId="16" xfId="1" applyNumberFormat="1" applyFont="1" applyFill="1" applyBorder="1" applyAlignment="1">
      <alignment horizontal="center"/>
    </xf>
    <xf numFmtId="2" fontId="22" fillId="2" borderId="12" xfId="1" applyNumberFormat="1" applyFont="1" applyFill="1" applyBorder="1" applyAlignment="1">
      <alignment horizontal="center" vertical="center"/>
    </xf>
    <xf numFmtId="165" fontId="22" fillId="2" borderId="17" xfId="1" applyNumberFormat="1" applyFont="1" applyFill="1" applyBorder="1" applyAlignment="1">
      <alignment horizontal="center"/>
    </xf>
    <xf numFmtId="0" fontId="23" fillId="2" borderId="9" xfId="1" applyFont="1" applyFill="1" applyBorder="1"/>
    <xf numFmtId="0" fontId="23" fillId="2" borderId="0" xfId="1" applyFont="1" applyFill="1" applyAlignment="1">
      <alignment horizontal="center"/>
    </xf>
    <xf numFmtId="10" fontId="23" fillId="2" borderId="9" xfId="1" applyNumberFormat="1" applyFont="1" applyFill="1" applyBorder="1"/>
    <xf numFmtId="0" fontId="22" fillId="2" borderId="10" xfId="1" applyFont="1" applyFill="1" applyBorder="1"/>
    <xf numFmtId="0" fontId="22" fillId="2" borderId="1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/>
    </xf>
    <xf numFmtId="0" fontId="23" fillId="2" borderId="7" xfId="1" applyFont="1" applyFill="1" applyBorder="1"/>
    <xf numFmtId="0" fontId="22" fillId="2" borderId="11" xfId="1" applyFont="1" applyFill="1" applyBorder="1"/>
    <xf numFmtId="0" fontId="22" fillId="2" borderId="0" xfId="1" applyFont="1" applyFill="1"/>
    <xf numFmtId="0" fontId="23" fillId="2" borderId="11" xfId="1" applyFont="1" applyFill="1" applyBorder="1"/>
    <xf numFmtId="0" fontId="0" fillId="2" borderId="0" xfId="1" applyFont="1" applyFill="1"/>
    <xf numFmtId="0" fontId="19" fillId="2" borderId="0" xfId="2" applyFont="1" applyFill="1"/>
    <xf numFmtId="0" fontId="25" fillId="2" borderId="0" xfId="2" applyFont="1" applyFill="1"/>
    <xf numFmtId="0" fontId="25" fillId="2" borderId="0" xfId="2" applyFont="1" applyFill="1" applyAlignment="1">
      <alignment horizontal="right"/>
    </xf>
    <xf numFmtId="0" fontId="21" fillId="2" borderId="0" xfId="2" applyFont="1" applyFill="1"/>
    <xf numFmtId="0" fontId="21" fillId="2" borderId="0" xfId="2" applyFont="1" applyFill="1" applyAlignment="1">
      <alignment horizontal="left"/>
    </xf>
    <xf numFmtId="0" fontId="22" fillId="2" borderId="0" xfId="2" applyFont="1" applyFill="1" applyAlignment="1">
      <alignment horizontal="left"/>
    </xf>
    <xf numFmtId="0" fontId="22" fillId="2" borderId="0" xfId="2" applyFont="1" applyFill="1" applyAlignment="1">
      <alignment horizontal="center"/>
    </xf>
    <xf numFmtId="0" fontId="23" fillId="2" borderId="0" xfId="2" applyFont="1" applyFill="1"/>
    <xf numFmtId="0" fontId="22" fillId="2" borderId="0" xfId="2" applyFont="1" applyFill="1"/>
    <xf numFmtId="0" fontId="22" fillId="2" borderId="1" xfId="2" applyFont="1" applyFill="1" applyBorder="1" applyAlignment="1">
      <alignment horizontal="center"/>
    </xf>
    <xf numFmtId="0" fontId="22" fillId="2" borderId="2" xfId="2" applyFont="1" applyFill="1" applyBorder="1" applyAlignment="1">
      <alignment horizontal="center"/>
    </xf>
    <xf numFmtId="0" fontId="23" fillId="2" borderId="3" xfId="2" applyFont="1" applyFill="1" applyBorder="1" applyAlignment="1">
      <alignment horizontal="center"/>
    </xf>
    <xf numFmtId="0" fontId="4" fillId="3" borderId="3" xfId="1" applyFont="1" applyFill="1" applyBorder="1" applyAlignment="1" applyProtection="1">
      <alignment horizontal="center"/>
      <protection locked="0"/>
    </xf>
    <xf numFmtId="2" fontId="4" fillId="3" borderId="3" xfId="1" applyNumberFormat="1" applyFont="1" applyFill="1" applyBorder="1" applyAlignment="1" applyProtection="1">
      <alignment horizontal="center"/>
      <protection locked="0"/>
    </xf>
    <xf numFmtId="2" fontId="4" fillId="3" borderId="4" xfId="1" applyNumberFormat="1" applyFont="1" applyFill="1" applyBorder="1" applyAlignment="1" applyProtection="1">
      <alignment horizontal="center"/>
      <protection locked="0"/>
    </xf>
    <xf numFmtId="0" fontId="4" fillId="3" borderId="5" xfId="1" applyFont="1" applyFill="1" applyBorder="1" applyAlignment="1" applyProtection="1">
      <alignment horizontal="center"/>
      <protection locked="0"/>
    </xf>
    <xf numFmtId="2" fontId="4" fillId="3" borderId="5" xfId="1" applyNumberFormat="1" applyFont="1" applyFill="1" applyBorder="1" applyAlignment="1" applyProtection="1">
      <alignment horizontal="center"/>
      <protection locked="0"/>
    </xf>
    <xf numFmtId="0" fontId="23" fillId="2" borderId="4" xfId="2" applyFont="1" applyFill="1" applyBorder="1"/>
    <xf numFmtId="1" fontId="22" fillId="4" borderId="2" xfId="2" applyNumberFormat="1" applyFont="1" applyFill="1" applyBorder="1" applyAlignment="1">
      <alignment horizontal="center"/>
    </xf>
    <xf numFmtId="1" fontId="22" fillId="4" borderId="1" xfId="2" applyNumberFormat="1" applyFont="1" applyFill="1" applyBorder="1" applyAlignment="1">
      <alignment horizontal="center"/>
    </xf>
    <xf numFmtId="2" fontId="22" fillId="4" borderId="1" xfId="2" applyNumberFormat="1" applyFont="1" applyFill="1" applyBorder="1" applyAlignment="1">
      <alignment horizontal="center"/>
    </xf>
    <xf numFmtId="0" fontId="23" fillId="2" borderId="3" xfId="2" applyFont="1" applyFill="1" applyBorder="1"/>
    <xf numFmtId="10" fontId="22" fillId="5" borderId="1" xfId="2" applyNumberFormat="1" applyFont="1" applyFill="1" applyBorder="1" applyAlignment="1">
      <alignment horizontal="center"/>
    </xf>
    <xf numFmtId="165" fontId="22" fillId="2" borderId="0" xfId="2" applyNumberFormat="1" applyFont="1" applyFill="1" applyAlignment="1">
      <alignment horizontal="center"/>
    </xf>
    <xf numFmtId="0" fontId="23" fillId="2" borderId="6" xfId="2" applyFont="1" applyFill="1" applyBorder="1"/>
    <xf numFmtId="0" fontId="23" fillId="2" borderId="5" xfId="2" applyFont="1" applyFill="1" applyBorder="1"/>
    <xf numFmtId="0" fontId="22" fillId="4" borderId="1" xfId="2" applyFont="1" applyFill="1" applyBorder="1" applyAlignment="1">
      <alignment horizontal="center"/>
    </xf>
    <xf numFmtId="0" fontId="22" fillId="2" borderId="7" xfId="2" applyFont="1" applyFill="1" applyBorder="1" applyAlignment="1">
      <alignment horizontal="center"/>
    </xf>
    <xf numFmtId="0" fontId="23" fillId="2" borderId="7" xfId="2" applyFont="1" applyFill="1" applyBorder="1"/>
    <xf numFmtId="0" fontId="23" fillId="2" borderId="8" xfId="2" applyFont="1" applyFill="1" applyBorder="1"/>
    <xf numFmtId="0" fontId="23" fillId="2" borderId="0" xfId="2" applyFont="1" applyFill="1" applyAlignment="1" applyProtection="1">
      <alignment horizontal="left"/>
      <protection locked="0"/>
    </xf>
    <xf numFmtId="0" fontId="23" fillId="2" borderId="0" xfId="2" applyFont="1" applyFill="1" applyProtection="1">
      <protection locked="0"/>
    </xf>
    <xf numFmtId="0" fontId="25" fillId="2" borderId="9" xfId="2" applyFont="1" applyFill="1" applyBorder="1"/>
    <xf numFmtId="0" fontId="25" fillId="2" borderId="0" xfId="2" applyFont="1" applyFill="1" applyAlignment="1">
      <alignment horizontal="center"/>
    </xf>
    <xf numFmtId="10" fontId="25" fillId="2" borderId="9" xfId="2" applyNumberFormat="1" applyFont="1" applyFill="1" applyBorder="1"/>
    <xf numFmtId="0" fontId="0" fillId="2" borderId="0" xfId="2" applyFont="1" applyFill="1"/>
    <xf numFmtId="0" fontId="19" fillId="2" borderId="10" xfId="2" applyFont="1" applyFill="1" applyBorder="1" applyAlignment="1">
      <alignment horizontal="center"/>
    </xf>
    <xf numFmtId="0" fontId="25" fillId="2" borderId="10" xfId="2" applyFont="1" applyFill="1" applyBorder="1" applyAlignment="1">
      <alignment horizontal="center"/>
    </xf>
    <xf numFmtId="0" fontId="19" fillId="2" borderId="0" xfId="2" applyFont="1" applyFill="1" applyAlignment="1">
      <alignment horizontal="right"/>
    </xf>
    <xf numFmtId="0" fontId="25" fillId="2" borderId="7" xfId="2" applyFont="1" applyFill="1" applyBorder="1"/>
    <xf numFmtId="0" fontId="19" fillId="2" borderId="11" xfId="2" applyFont="1" applyFill="1" applyBorder="1"/>
    <xf numFmtId="0" fontId="25" fillId="2" borderId="11" xfId="2" applyFont="1" applyFill="1" applyBorder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2" fillId="2" borderId="0" xfId="1" applyFont="1" applyFill="1" applyAlignment="1">
      <alignment horizontal="left"/>
    </xf>
    <xf numFmtId="0" fontId="22" fillId="2" borderId="0" xfId="1" applyFont="1" applyFill="1" applyAlignment="1">
      <alignment horizontal="center"/>
    </xf>
    <xf numFmtId="2" fontId="22" fillId="2" borderId="0" xfId="1" applyNumberFormat="1" applyFont="1" applyFill="1" applyAlignment="1">
      <alignment horizontal="center"/>
    </xf>
    <xf numFmtId="164" fontId="22" fillId="2" borderId="0" xfId="1" applyNumberFormat="1" applyFont="1" applyFill="1" applyAlignment="1">
      <alignment horizontal="center"/>
    </xf>
    <xf numFmtId="0" fontId="22" fillId="2" borderId="1" xfId="1" applyFont="1" applyFill="1" applyBorder="1" applyAlignment="1">
      <alignment horizontal="center"/>
    </xf>
    <xf numFmtId="0" fontId="22" fillId="2" borderId="2" xfId="1" applyFont="1" applyFill="1" applyBorder="1" applyAlignment="1">
      <alignment horizontal="center"/>
    </xf>
    <xf numFmtId="0" fontId="23" fillId="2" borderId="3" xfId="1" applyFont="1" applyFill="1" applyBorder="1" applyAlignment="1">
      <alignment horizontal="center"/>
    </xf>
    <xf numFmtId="0" fontId="4" fillId="3" borderId="3" xfId="3" applyFont="1" applyFill="1" applyBorder="1" applyAlignment="1" applyProtection="1">
      <alignment horizontal="center"/>
      <protection locked="0"/>
    </xf>
    <xf numFmtId="173" fontId="4" fillId="3" borderId="3" xfId="3" applyNumberFormat="1" applyFont="1" applyFill="1" applyBorder="1" applyAlignment="1" applyProtection="1">
      <alignment horizontal="center"/>
      <protection locked="0"/>
    </xf>
    <xf numFmtId="2" fontId="4" fillId="3" borderId="3" xfId="3" applyNumberFormat="1" applyFont="1" applyFill="1" applyBorder="1" applyAlignment="1" applyProtection="1">
      <alignment horizontal="center"/>
      <protection locked="0"/>
    </xf>
    <xf numFmtId="2" fontId="4" fillId="3" borderId="4" xfId="3" applyNumberFormat="1" applyFont="1" applyFill="1" applyBorder="1" applyAlignment="1" applyProtection="1">
      <alignment horizontal="center"/>
      <protection locked="0"/>
    </xf>
    <xf numFmtId="0" fontId="4" fillId="3" borderId="5" xfId="3" applyFont="1" applyFill="1" applyBorder="1" applyAlignment="1" applyProtection="1">
      <alignment horizontal="center"/>
      <protection locked="0"/>
    </xf>
    <xf numFmtId="173" fontId="4" fillId="3" borderId="5" xfId="3" applyNumberFormat="1" applyFont="1" applyFill="1" applyBorder="1" applyAlignment="1" applyProtection="1">
      <alignment horizontal="center"/>
      <protection locked="0"/>
    </xf>
    <xf numFmtId="2" fontId="4" fillId="3" borderId="5" xfId="3" applyNumberFormat="1" applyFont="1" applyFill="1" applyBorder="1" applyAlignment="1" applyProtection="1">
      <alignment horizontal="center"/>
      <protection locked="0"/>
    </xf>
    <xf numFmtId="0" fontId="23" fillId="2" borderId="4" xfId="1" applyFont="1" applyFill="1" applyBorder="1"/>
    <xf numFmtId="1" fontId="22" fillId="4" borderId="2" xfId="1" applyNumberFormat="1" applyFont="1" applyFill="1" applyBorder="1" applyAlignment="1">
      <alignment horizontal="center"/>
    </xf>
    <xf numFmtId="1" fontId="22" fillId="4" borderId="1" xfId="1" applyNumberFormat="1" applyFont="1" applyFill="1" applyBorder="1" applyAlignment="1">
      <alignment horizontal="center"/>
    </xf>
    <xf numFmtId="2" fontId="22" fillId="4" borderId="1" xfId="1" applyNumberFormat="1" applyFont="1" applyFill="1" applyBorder="1" applyAlignment="1">
      <alignment horizontal="center"/>
    </xf>
    <xf numFmtId="0" fontId="23" fillId="2" borderId="3" xfId="1" applyFont="1" applyFill="1" applyBorder="1"/>
    <xf numFmtId="10" fontId="22" fillId="5" borderId="1" xfId="1" applyNumberFormat="1" applyFont="1" applyFill="1" applyBorder="1" applyAlignment="1">
      <alignment horizontal="center"/>
    </xf>
    <xf numFmtId="165" fontId="22" fillId="2" borderId="0" xfId="1" applyNumberFormat="1" applyFont="1" applyFill="1" applyAlignment="1">
      <alignment horizontal="center"/>
    </xf>
    <xf numFmtId="0" fontId="23" fillId="2" borderId="6" xfId="1" applyFont="1" applyFill="1" applyBorder="1"/>
    <xf numFmtId="0" fontId="23" fillId="2" borderId="5" xfId="1" applyFont="1" applyFill="1" applyBorder="1"/>
    <xf numFmtId="0" fontId="22" fillId="4" borderId="1" xfId="1" applyFont="1" applyFill="1" applyBorder="1" applyAlignment="1">
      <alignment horizontal="center"/>
    </xf>
    <xf numFmtId="0" fontId="22" fillId="2" borderId="7" xfId="1" applyFont="1" applyFill="1" applyBorder="1" applyAlignment="1">
      <alignment horizontal="center"/>
    </xf>
    <xf numFmtId="0" fontId="23" fillId="2" borderId="8" xfId="1" applyFont="1" applyFill="1" applyBorder="1"/>
    <xf numFmtId="0" fontId="23" fillId="2" borderId="0" xfId="1" applyFont="1" applyFill="1" applyAlignment="1" applyProtection="1">
      <alignment horizontal="left"/>
      <protection locked="0"/>
    </xf>
    <xf numFmtId="0" fontId="23" fillId="2" borderId="0" xfId="1" applyFont="1" applyFill="1" applyProtection="1">
      <protection locked="0"/>
    </xf>
    <xf numFmtId="0" fontId="25" fillId="2" borderId="9" xfId="1" applyFont="1" applyFill="1" applyBorder="1"/>
    <xf numFmtId="10" fontId="25" fillId="2" borderId="9" xfId="1" applyNumberFormat="1" applyFont="1" applyFill="1" applyBorder="1"/>
    <xf numFmtId="0" fontId="19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19" fillId="2" borderId="0" xfId="1" applyFont="1" applyFill="1" applyAlignment="1">
      <alignment horizontal="right"/>
    </xf>
    <xf numFmtId="0" fontId="25" fillId="2" borderId="7" xfId="1" applyFont="1" applyFill="1" applyBorder="1"/>
    <xf numFmtId="0" fontId="19" fillId="2" borderId="11" xfId="1" applyFont="1" applyFill="1" applyBorder="1"/>
    <xf numFmtId="0" fontId="25" fillId="2" borderId="11" xfId="1" applyFont="1" applyFill="1" applyBorder="1"/>
    <xf numFmtId="0" fontId="22" fillId="2" borderId="0" xfId="0" applyFont="1" applyFill="1" applyAlignment="1">
      <alignment horizontal="left"/>
    </xf>
    <xf numFmtId="2" fontId="22" fillId="2" borderId="0" xfId="0" applyNumberFormat="1" applyFont="1" applyFill="1" applyAlignment="1">
      <alignment horizontal="center"/>
    </xf>
    <xf numFmtId="164" fontId="22" fillId="2" borderId="0" xfId="0" applyNumberFormat="1" applyFont="1" applyFill="1" applyAlignment="1">
      <alignment horizontal="center"/>
    </xf>
    <xf numFmtId="0" fontId="27" fillId="2" borderId="0" xfId="2" applyFont="1" applyFill="1" applyAlignment="1">
      <alignment horizontal="center"/>
    </xf>
    <xf numFmtId="0" fontId="19" fillId="2" borderId="10" xfId="2" applyFont="1" applyFill="1" applyBorder="1" applyAlignment="1">
      <alignment horizontal="center"/>
    </xf>
    <xf numFmtId="0" fontId="27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center"/>
    </xf>
    <xf numFmtId="0" fontId="22" fillId="2" borderId="0" xfId="1" applyFont="1" applyFill="1" applyAlignment="1">
      <alignment horizontal="right"/>
    </xf>
    <xf numFmtId="0" fontId="21" fillId="2" borderId="0" xfId="1" applyFont="1" applyFill="1" applyAlignment="1">
      <alignment horizontal="center"/>
    </xf>
    <xf numFmtId="164" fontId="19" fillId="2" borderId="0" xfId="1" applyNumberFormat="1" applyFont="1" applyFill="1" applyAlignment="1">
      <alignment horizontal="center"/>
    </xf>
    <xf numFmtId="166" fontId="22" fillId="2" borderId="13" xfId="1" applyNumberFormat="1" applyFont="1" applyFill="1" applyBorder="1" applyAlignment="1">
      <alignment horizontal="center" vertical="center"/>
    </xf>
    <xf numFmtId="166" fontId="22" fillId="2" borderId="15" xfId="1" applyNumberFormat="1" applyFont="1" applyFill="1" applyBorder="1" applyAlignment="1">
      <alignment horizontal="center" vertical="center"/>
    </xf>
    <xf numFmtId="0" fontId="20" fillId="2" borderId="18" xfId="1" applyFont="1" applyFill="1" applyBorder="1" applyAlignment="1">
      <alignment horizontal="center" wrapText="1"/>
    </xf>
    <xf numFmtId="0" fontId="20" fillId="2" borderId="19" xfId="1" applyFont="1" applyFill="1" applyBorder="1" applyAlignment="1">
      <alignment horizontal="center" wrapText="1"/>
    </xf>
    <xf numFmtId="0" fontId="20" fillId="2" borderId="20" xfId="1" applyFont="1" applyFill="1" applyBorder="1" applyAlignment="1">
      <alignment horizontal="center" wrapText="1"/>
    </xf>
    <xf numFmtId="0" fontId="7" fillId="3" borderId="0" xfId="0" applyFont="1" applyFill="1" applyAlignment="1" applyProtection="1">
      <alignment horizontal="left" wrapText="1"/>
      <protection locked="0"/>
    </xf>
    <xf numFmtId="0" fontId="13" fillId="2" borderId="18" xfId="0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0" fontId="8" fillId="3" borderId="0" xfId="0" applyFont="1" applyFill="1" applyAlignment="1" applyProtection="1">
      <alignment horizontal="left" wrapText="1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13" fillId="2" borderId="18" xfId="0" applyFont="1" applyFill="1" applyBorder="1" applyAlignment="1">
      <alignment horizontal="justify" vertical="center" wrapText="1"/>
    </xf>
    <xf numFmtId="0" fontId="13" fillId="2" borderId="19" xfId="0" applyFont="1" applyFill="1" applyBorder="1" applyAlignment="1">
      <alignment horizontal="justify" vertical="center" wrapText="1"/>
    </xf>
    <xf numFmtId="0" fontId="13" fillId="2" borderId="20" xfId="0" applyFont="1" applyFill="1" applyBorder="1" applyAlignment="1">
      <alignment horizontal="justify" vertical="center" wrapText="1"/>
    </xf>
    <xf numFmtId="0" fontId="13" fillId="2" borderId="18" xfId="0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6" fillId="2" borderId="47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2" borderId="58" xfId="0" applyFont="1" applyFill="1" applyBorder="1" applyAlignment="1">
      <alignment horizontal="center"/>
    </xf>
    <xf numFmtId="0" fontId="7" fillId="3" borderId="0" xfId="0" applyFont="1" applyFill="1" applyAlignment="1" applyProtection="1">
      <alignment horizontal="left"/>
      <protection locked="0"/>
    </xf>
    <xf numFmtId="10" fontId="9" fillId="2" borderId="14" xfId="0" applyNumberFormat="1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 applyProtection="1">
      <alignment horizontal="center" vertical="center"/>
      <protection locked="0"/>
    </xf>
    <xf numFmtId="2" fontId="7" fillId="3" borderId="14" xfId="0" applyNumberFormat="1" applyFont="1" applyFill="1" applyBorder="1" applyAlignment="1" applyProtection="1">
      <alignment horizontal="center" vertical="center"/>
      <protection locked="0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6" fillId="2" borderId="43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43" xfId="0" applyFont="1" applyFill="1" applyBorder="1" applyAlignment="1">
      <alignment horizontal="center" vertical="center" wrapText="1"/>
    </xf>
    <xf numFmtId="0" fontId="13" fillId="2" borderId="4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/>
    <cellStyle name="Normal 2 2" xfId="3"/>
    <cellStyle name="Normal 3" xfId="4"/>
    <cellStyle name="Normal 4" xfId="2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09" customWidth="1"/>
    <col min="2" max="2" width="20.42578125" style="409" customWidth="1"/>
    <col min="3" max="3" width="31.85546875" style="409" customWidth="1"/>
    <col min="4" max="4" width="25.85546875" style="409" customWidth="1"/>
    <col min="5" max="5" width="25.7109375" style="409" customWidth="1"/>
    <col min="6" max="6" width="23.140625" style="409" customWidth="1"/>
    <col min="7" max="7" width="28.42578125" style="409" customWidth="1"/>
    <col min="8" max="8" width="21.5703125" style="409" customWidth="1"/>
    <col min="9" max="9" width="9.140625" style="409" customWidth="1"/>
    <col min="10" max="16384" width="9.140625" style="443"/>
  </cols>
  <sheetData>
    <row r="14" spans="1:6" ht="15" customHeight="1" x14ac:dyDescent="0.3">
      <c r="A14" s="408"/>
      <c r="C14" s="410"/>
      <c r="F14" s="410"/>
    </row>
    <row r="15" spans="1:6" ht="18.75" customHeight="1" x14ac:dyDescent="0.3">
      <c r="A15" s="491" t="s">
        <v>0</v>
      </c>
      <c r="B15" s="491"/>
      <c r="C15" s="491"/>
      <c r="D15" s="491"/>
      <c r="E15" s="491"/>
    </row>
    <row r="16" spans="1:6" ht="16.5" customHeight="1" x14ac:dyDescent="0.3">
      <c r="A16" s="411" t="s">
        <v>1</v>
      </c>
      <c r="B16" s="412" t="s">
        <v>2</v>
      </c>
    </row>
    <row r="17" spans="1:5" ht="16.5" customHeight="1" x14ac:dyDescent="0.3">
      <c r="A17" s="413" t="s">
        <v>3</v>
      </c>
      <c r="B17" s="488" t="s">
        <v>124</v>
      </c>
      <c r="D17" s="414"/>
      <c r="E17" s="415"/>
    </row>
    <row r="18" spans="1:5" ht="16.5" customHeight="1" x14ac:dyDescent="0.3">
      <c r="A18" s="416" t="s">
        <v>4</v>
      </c>
      <c r="B18" s="488" t="s">
        <v>120</v>
      </c>
      <c r="C18" s="415"/>
      <c r="D18" s="415"/>
      <c r="E18" s="415"/>
    </row>
    <row r="19" spans="1:5" ht="16.5" customHeight="1" x14ac:dyDescent="0.3">
      <c r="A19" s="416" t="s">
        <v>6</v>
      </c>
      <c r="B19" s="489">
        <v>99.7</v>
      </c>
      <c r="C19" s="415"/>
      <c r="D19" s="415"/>
      <c r="E19" s="415"/>
    </row>
    <row r="20" spans="1:5" ht="16.5" customHeight="1" x14ac:dyDescent="0.3">
      <c r="A20" s="413" t="s">
        <v>7</v>
      </c>
      <c r="B20" s="489">
        <v>15.81</v>
      </c>
      <c r="C20" s="415"/>
      <c r="D20" s="415"/>
      <c r="E20" s="415"/>
    </row>
    <row r="21" spans="1:5" ht="16.5" customHeight="1" x14ac:dyDescent="0.3">
      <c r="A21" s="413" t="s">
        <v>8</v>
      </c>
      <c r="B21" s="490">
        <v>3.2000000000000001E-2</v>
      </c>
      <c r="C21" s="415"/>
      <c r="D21" s="415"/>
      <c r="E21" s="415"/>
    </row>
    <row r="22" spans="1:5" ht="15.75" customHeight="1" x14ac:dyDescent="0.25">
      <c r="A22" s="415"/>
      <c r="B22" s="415" t="s">
        <v>130</v>
      </c>
      <c r="C22" s="415"/>
      <c r="D22" s="415"/>
      <c r="E22" s="415"/>
    </row>
    <row r="23" spans="1:5" ht="16.5" customHeight="1" x14ac:dyDescent="0.3">
      <c r="A23" s="417" t="s">
        <v>10</v>
      </c>
      <c r="B23" s="418" t="s">
        <v>11</v>
      </c>
      <c r="C23" s="417" t="s">
        <v>12</v>
      </c>
      <c r="D23" s="417" t="s">
        <v>13</v>
      </c>
      <c r="E23" s="417" t="s">
        <v>14</v>
      </c>
    </row>
    <row r="24" spans="1:5" ht="16.5" customHeight="1" x14ac:dyDescent="0.3">
      <c r="A24" s="419">
        <v>1</v>
      </c>
      <c r="B24" s="420">
        <v>7598542</v>
      </c>
      <c r="C24" s="420">
        <v>5593.54</v>
      </c>
      <c r="D24" s="421">
        <v>1.18</v>
      </c>
      <c r="E24" s="422">
        <v>3.2</v>
      </c>
    </row>
    <row r="25" spans="1:5" ht="16.5" customHeight="1" x14ac:dyDescent="0.3">
      <c r="A25" s="419">
        <v>2</v>
      </c>
      <c r="B25" s="420">
        <v>7630877</v>
      </c>
      <c r="C25" s="420">
        <v>5801.62</v>
      </c>
      <c r="D25" s="421">
        <v>1.1299999999999999</v>
      </c>
      <c r="E25" s="421">
        <v>3.2</v>
      </c>
    </row>
    <row r="26" spans="1:5" ht="16.5" customHeight="1" x14ac:dyDescent="0.3">
      <c r="A26" s="419">
        <v>3</v>
      </c>
      <c r="B26" s="420">
        <v>7589899</v>
      </c>
      <c r="C26" s="420">
        <v>5797.46</v>
      </c>
      <c r="D26" s="421">
        <v>1.17</v>
      </c>
      <c r="E26" s="421">
        <v>3.2</v>
      </c>
    </row>
    <row r="27" spans="1:5" ht="16.5" customHeight="1" x14ac:dyDescent="0.3">
      <c r="A27" s="419">
        <v>4</v>
      </c>
      <c r="B27" s="420">
        <v>7628570</v>
      </c>
      <c r="C27" s="420">
        <v>5779.03</v>
      </c>
      <c r="D27" s="421">
        <v>1.1499999999999999</v>
      </c>
      <c r="E27" s="421">
        <v>3.2</v>
      </c>
    </row>
    <row r="28" spans="1:5" ht="16.5" customHeight="1" x14ac:dyDescent="0.3">
      <c r="A28" s="419">
        <v>5</v>
      </c>
      <c r="B28" s="420">
        <v>7622910</v>
      </c>
      <c r="C28" s="420">
        <v>5796.93</v>
      </c>
      <c r="D28" s="421">
        <v>1.1599999999999999</v>
      </c>
      <c r="E28" s="421">
        <v>3.2</v>
      </c>
    </row>
    <row r="29" spans="1:5" ht="16.5" customHeight="1" x14ac:dyDescent="0.3">
      <c r="A29" s="419">
        <v>6</v>
      </c>
      <c r="B29" s="423">
        <v>7610510</v>
      </c>
      <c r="C29" s="423">
        <v>5835.86</v>
      </c>
      <c r="D29" s="424">
        <v>1.1399999999999999</v>
      </c>
      <c r="E29" s="424">
        <v>3.2</v>
      </c>
    </row>
    <row r="30" spans="1:5" ht="16.5" customHeight="1" x14ac:dyDescent="0.3">
      <c r="A30" s="425" t="s">
        <v>15</v>
      </c>
      <c r="B30" s="426">
        <f>AVERAGE(B24:B29)</f>
        <v>7613551.333333333</v>
      </c>
      <c r="C30" s="427">
        <f>AVERAGE(C24:C29)</f>
        <v>5767.4066666666658</v>
      </c>
      <c r="D30" s="428">
        <f>AVERAGE(D24:D29)</f>
        <v>1.1549999999999998</v>
      </c>
      <c r="E30" s="428">
        <f>AVERAGE(E24:E29)</f>
        <v>3.1999999999999997</v>
      </c>
    </row>
    <row r="31" spans="1:5" ht="16.5" customHeight="1" x14ac:dyDescent="0.3">
      <c r="A31" s="429" t="s">
        <v>16</v>
      </c>
      <c r="B31" s="430">
        <f>(STDEV(B24:B29)/B30)</f>
        <v>2.2035299631905985E-3</v>
      </c>
      <c r="C31" s="431"/>
      <c r="D31" s="431"/>
      <c r="E31" s="432"/>
    </row>
    <row r="32" spans="1:5" s="409" customFormat="1" ht="16.5" customHeight="1" x14ac:dyDescent="0.3">
      <c r="A32" s="433" t="s">
        <v>17</v>
      </c>
      <c r="B32" s="434">
        <f>COUNT(B24:B29)</f>
        <v>6</v>
      </c>
      <c r="C32" s="435"/>
      <c r="D32" s="436"/>
      <c r="E32" s="437"/>
    </row>
    <row r="33" spans="1:5" s="409" customFormat="1" ht="15.75" customHeight="1" x14ac:dyDescent="0.25">
      <c r="A33" s="415"/>
      <c r="B33" s="415"/>
      <c r="C33" s="415"/>
      <c r="D33" s="415"/>
      <c r="E33" s="415"/>
    </row>
    <row r="34" spans="1:5" s="409" customFormat="1" ht="16.5" customHeight="1" x14ac:dyDescent="0.3">
      <c r="A34" s="416" t="s">
        <v>18</v>
      </c>
      <c r="B34" s="438" t="s">
        <v>131</v>
      </c>
      <c r="C34" s="439"/>
      <c r="D34" s="439"/>
      <c r="E34" s="439"/>
    </row>
    <row r="35" spans="1:5" ht="16.5" customHeight="1" x14ac:dyDescent="0.3">
      <c r="A35" s="416"/>
      <c r="B35" s="438" t="s">
        <v>132</v>
      </c>
      <c r="C35" s="439"/>
      <c r="D35" s="439"/>
      <c r="E35" s="439"/>
    </row>
    <row r="36" spans="1:5" ht="16.5" customHeight="1" x14ac:dyDescent="0.3">
      <c r="A36" s="416"/>
      <c r="B36" s="438" t="s">
        <v>133</v>
      </c>
      <c r="C36" s="439"/>
      <c r="D36" s="439"/>
      <c r="E36" s="439"/>
    </row>
    <row r="37" spans="1:5" ht="15.75" customHeight="1" x14ac:dyDescent="0.25">
      <c r="A37" s="415"/>
      <c r="B37" s="415"/>
      <c r="C37" s="415"/>
      <c r="D37" s="415"/>
      <c r="E37" s="415"/>
    </row>
    <row r="38" spans="1:5" ht="16.5" customHeight="1" x14ac:dyDescent="0.3">
      <c r="A38" s="411" t="s">
        <v>1</v>
      </c>
      <c r="B38" s="412" t="s">
        <v>19</v>
      </c>
    </row>
    <row r="39" spans="1:5" ht="16.5" customHeight="1" x14ac:dyDescent="0.3">
      <c r="A39" s="416" t="s">
        <v>4</v>
      </c>
      <c r="B39" s="488" t="s">
        <v>120</v>
      </c>
      <c r="C39" s="415"/>
      <c r="D39" s="415"/>
      <c r="E39" s="415"/>
    </row>
    <row r="40" spans="1:5" ht="16.5" customHeight="1" x14ac:dyDescent="0.3">
      <c r="A40" s="416" t="s">
        <v>6</v>
      </c>
      <c r="B40" s="489">
        <v>99.7</v>
      </c>
      <c r="C40" s="415"/>
      <c r="D40" s="415"/>
      <c r="E40" s="415"/>
    </row>
    <row r="41" spans="1:5" ht="16.5" customHeight="1" x14ac:dyDescent="0.3">
      <c r="A41" s="413" t="s">
        <v>7</v>
      </c>
      <c r="B41" s="489">
        <v>15.81</v>
      </c>
      <c r="C41" s="415"/>
      <c r="D41" s="415"/>
      <c r="E41" s="415"/>
    </row>
    <row r="42" spans="1:5" ht="16.5" customHeight="1" x14ac:dyDescent="0.3">
      <c r="A42" s="413" t="s">
        <v>8</v>
      </c>
      <c r="B42" s="490">
        <v>3.2000000000000001E-2</v>
      </c>
      <c r="C42" s="415"/>
      <c r="D42" s="415"/>
      <c r="E42" s="415"/>
    </row>
    <row r="43" spans="1:5" ht="15.75" customHeight="1" x14ac:dyDescent="0.25">
      <c r="A43" s="415"/>
      <c r="B43" s="415"/>
      <c r="C43" s="415"/>
      <c r="D43" s="415"/>
      <c r="E43" s="415"/>
    </row>
    <row r="44" spans="1:5" ht="16.5" customHeight="1" x14ac:dyDescent="0.3">
      <c r="A44" s="417" t="s">
        <v>10</v>
      </c>
      <c r="B44" s="418" t="s">
        <v>11</v>
      </c>
      <c r="C44" s="417" t="s">
        <v>12</v>
      </c>
      <c r="D44" s="417" t="s">
        <v>13</v>
      </c>
      <c r="E44" s="417" t="s">
        <v>14</v>
      </c>
    </row>
    <row r="45" spans="1:5" ht="16.5" customHeight="1" x14ac:dyDescent="0.3">
      <c r="A45" s="419">
        <v>1</v>
      </c>
      <c r="B45" s="420">
        <v>7598542</v>
      </c>
      <c r="C45" s="420">
        <v>5593.54</v>
      </c>
      <c r="D45" s="421">
        <v>1.18</v>
      </c>
      <c r="E45" s="422">
        <v>3.2</v>
      </c>
    </row>
    <row r="46" spans="1:5" ht="16.5" customHeight="1" x14ac:dyDescent="0.3">
      <c r="A46" s="419">
        <v>2</v>
      </c>
      <c r="B46" s="420">
        <v>7630877</v>
      </c>
      <c r="C46" s="420">
        <v>5801.62</v>
      </c>
      <c r="D46" s="421">
        <v>1.1299999999999999</v>
      </c>
      <c r="E46" s="421">
        <v>3.2</v>
      </c>
    </row>
    <row r="47" spans="1:5" ht="16.5" customHeight="1" x14ac:dyDescent="0.3">
      <c r="A47" s="419">
        <v>3</v>
      </c>
      <c r="B47" s="420">
        <v>7589899</v>
      </c>
      <c r="C47" s="420">
        <v>5797.46</v>
      </c>
      <c r="D47" s="421">
        <v>1.17</v>
      </c>
      <c r="E47" s="421">
        <v>3.2</v>
      </c>
    </row>
    <row r="48" spans="1:5" ht="16.5" customHeight="1" x14ac:dyDescent="0.3">
      <c r="A48" s="419">
        <v>4</v>
      </c>
      <c r="B48" s="420">
        <v>7628570</v>
      </c>
      <c r="C48" s="420">
        <v>5779.03</v>
      </c>
      <c r="D48" s="421">
        <v>1.1499999999999999</v>
      </c>
      <c r="E48" s="421">
        <v>3.2</v>
      </c>
    </row>
    <row r="49" spans="1:7" ht="16.5" customHeight="1" x14ac:dyDescent="0.3">
      <c r="A49" s="419">
        <v>5</v>
      </c>
      <c r="B49" s="420">
        <v>7622910</v>
      </c>
      <c r="C49" s="420">
        <v>5796.93</v>
      </c>
      <c r="D49" s="421">
        <v>1.1599999999999999</v>
      </c>
      <c r="E49" s="421">
        <v>3.2</v>
      </c>
    </row>
    <row r="50" spans="1:7" ht="16.5" customHeight="1" x14ac:dyDescent="0.3">
      <c r="A50" s="419">
        <v>6</v>
      </c>
      <c r="B50" s="423">
        <v>7610510</v>
      </c>
      <c r="C50" s="423">
        <v>5835.86</v>
      </c>
      <c r="D50" s="424">
        <v>1.1399999999999999</v>
      </c>
      <c r="E50" s="424">
        <v>3.2</v>
      </c>
    </row>
    <row r="51" spans="1:7" ht="16.5" customHeight="1" x14ac:dyDescent="0.3">
      <c r="A51" s="425" t="s">
        <v>15</v>
      </c>
      <c r="B51" s="426">
        <f>AVERAGE(B45:B50)</f>
        <v>7613551.333333333</v>
      </c>
      <c r="C51" s="427">
        <f>AVERAGE(C45:C50)</f>
        <v>5767.4066666666658</v>
      </c>
      <c r="D51" s="428">
        <f>AVERAGE(D45:D50)</f>
        <v>1.1549999999999998</v>
      </c>
      <c r="E51" s="428">
        <f>AVERAGE(E45:E50)</f>
        <v>3.1999999999999997</v>
      </c>
    </row>
    <row r="52" spans="1:7" ht="16.5" customHeight="1" x14ac:dyDescent="0.3">
      <c r="A52" s="429" t="s">
        <v>16</v>
      </c>
      <c r="B52" s="430">
        <f>(STDEV(B45:B50)/B51)</f>
        <v>2.2035299631905985E-3</v>
      </c>
      <c r="C52" s="431"/>
      <c r="D52" s="431"/>
      <c r="E52" s="432"/>
    </row>
    <row r="53" spans="1:7" s="409" customFormat="1" ht="16.5" customHeight="1" x14ac:dyDescent="0.3">
      <c r="A53" s="433" t="s">
        <v>17</v>
      </c>
      <c r="B53" s="434">
        <f>COUNT(B45:B50)</f>
        <v>6</v>
      </c>
      <c r="C53" s="435"/>
      <c r="D53" s="436"/>
      <c r="E53" s="437"/>
    </row>
    <row r="54" spans="1:7" s="409" customFormat="1" ht="15.75" customHeight="1" x14ac:dyDescent="0.25">
      <c r="A54" s="415"/>
      <c r="B54" s="415"/>
      <c r="C54" s="415"/>
      <c r="D54" s="415"/>
      <c r="E54" s="415"/>
    </row>
    <row r="55" spans="1:7" s="409" customFormat="1" ht="16.5" customHeight="1" x14ac:dyDescent="0.3">
      <c r="A55" s="416" t="s">
        <v>18</v>
      </c>
      <c r="B55" s="438" t="s">
        <v>131</v>
      </c>
      <c r="C55" s="439"/>
      <c r="D55" s="439"/>
      <c r="E55" s="439"/>
    </row>
    <row r="56" spans="1:7" ht="16.5" customHeight="1" x14ac:dyDescent="0.3">
      <c r="A56" s="416"/>
      <c r="B56" s="438" t="s">
        <v>132</v>
      </c>
      <c r="C56" s="439"/>
      <c r="D56" s="439"/>
      <c r="E56" s="439"/>
    </row>
    <row r="57" spans="1:7" ht="16.5" customHeight="1" x14ac:dyDescent="0.3">
      <c r="A57" s="416"/>
      <c r="B57" s="438" t="s">
        <v>133</v>
      </c>
      <c r="C57" s="439"/>
      <c r="D57" s="439"/>
      <c r="E57" s="439"/>
    </row>
    <row r="58" spans="1:7" ht="14.25" customHeight="1" thickBot="1" x14ac:dyDescent="0.3">
      <c r="A58" s="440"/>
      <c r="B58" s="441"/>
      <c r="D58" s="442"/>
      <c r="F58" s="443"/>
      <c r="G58" s="443"/>
    </row>
    <row r="59" spans="1:7" ht="15" customHeight="1" x14ac:dyDescent="0.3">
      <c r="B59" s="492" t="s">
        <v>20</v>
      </c>
      <c r="C59" s="492"/>
      <c r="E59" s="444" t="s">
        <v>21</v>
      </c>
      <c r="F59" s="445"/>
      <c r="G59" s="444" t="s">
        <v>22</v>
      </c>
    </row>
    <row r="60" spans="1:7" ht="15" customHeight="1" x14ac:dyDescent="0.3">
      <c r="A60" s="446" t="s">
        <v>23</v>
      </c>
      <c r="B60" s="447"/>
      <c r="C60" s="447"/>
      <c r="E60" s="447"/>
      <c r="G60" s="447"/>
    </row>
    <row r="61" spans="1:7" ht="15" customHeight="1" x14ac:dyDescent="0.3">
      <c r="A61" s="446" t="s">
        <v>24</v>
      </c>
      <c r="B61" s="448"/>
      <c r="C61" s="448"/>
      <c r="E61" s="448"/>
      <c r="G61" s="44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50" customWidth="1"/>
    <col min="2" max="2" width="20.42578125" style="450" customWidth="1"/>
    <col min="3" max="3" width="31.85546875" style="450" customWidth="1"/>
    <col min="4" max="4" width="25.85546875" style="450" customWidth="1"/>
    <col min="5" max="5" width="25.7109375" style="450" customWidth="1"/>
    <col min="6" max="6" width="23.140625" style="450" customWidth="1"/>
    <col min="7" max="7" width="28.42578125" style="450" customWidth="1"/>
    <col min="8" max="8" width="21.5703125" style="450" customWidth="1"/>
    <col min="9" max="9" width="9.140625" style="450" customWidth="1"/>
    <col min="10" max="16384" width="9.140625" style="407"/>
  </cols>
  <sheetData>
    <row r="14" spans="1:6" ht="15" customHeight="1" x14ac:dyDescent="0.3">
      <c r="A14" s="364"/>
      <c r="C14" s="451"/>
      <c r="F14" s="451"/>
    </row>
    <row r="15" spans="1:6" ht="18.75" customHeight="1" x14ac:dyDescent="0.3">
      <c r="A15" s="493" t="s">
        <v>0</v>
      </c>
      <c r="B15" s="493"/>
      <c r="C15" s="493"/>
      <c r="D15" s="493"/>
      <c r="E15" s="493"/>
    </row>
    <row r="16" spans="1:6" ht="16.5" customHeight="1" x14ac:dyDescent="0.3">
      <c r="A16" s="366" t="s">
        <v>1</v>
      </c>
      <c r="B16" s="371" t="s">
        <v>2</v>
      </c>
    </row>
    <row r="17" spans="1:5" ht="16.5" customHeight="1" x14ac:dyDescent="0.3">
      <c r="A17" s="452" t="s">
        <v>3</v>
      </c>
      <c r="B17" s="454" t="s">
        <v>124</v>
      </c>
      <c r="D17" s="453"/>
      <c r="E17" s="367"/>
    </row>
    <row r="18" spans="1:5" ht="16.5" customHeight="1" x14ac:dyDescent="0.3">
      <c r="A18" s="405" t="s">
        <v>4</v>
      </c>
      <c r="B18" s="452" t="s">
        <v>134</v>
      </c>
      <c r="C18" s="367"/>
      <c r="D18" s="367"/>
      <c r="E18" s="367"/>
    </row>
    <row r="19" spans="1:5" ht="16.5" customHeight="1" x14ac:dyDescent="0.3">
      <c r="A19" s="405" t="s">
        <v>6</v>
      </c>
      <c r="B19" s="454">
        <v>99.9</v>
      </c>
      <c r="C19" s="367"/>
      <c r="D19" s="367"/>
      <c r="E19" s="367"/>
    </row>
    <row r="20" spans="1:5" ht="16.5" customHeight="1" x14ac:dyDescent="0.3">
      <c r="A20" s="452" t="s">
        <v>7</v>
      </c>
      <c r="B20" s="454">
        <v>16.809999999999999</v>
      </c>
      <c r="C20" s="367"/>
      <c r="D20" s="367"/>
      <c r="E20" s="367"/>
    </row>
    <row r="21" spans="1:5" ht="16.5" customHeight="1" x14ac:dyDescent="0.3">
      <c r="A21" s="452" t="s">
        <v>8</v>
      </c>
      <c r="B21" s="455">
        <v>0.16</v>
      </c>
      <c r="C21" s="367"/>
      <c r="D21" s="367"/>
      <c r="E21" s="367"/>
    </row>
    <row r="22" spans="1:5" ht="15.75" customHeight="1" x14ac:dyDescent="0.25">
      <c r="A22" s="367"/>
      <c r="B22" s="367" t="s">
        <v>130</v>
      </c>
      <c r="C22" s="367"/>
      <c r="D22" s="367"/>
      <c r="E22" s="367"/>
    </row>
    <row r="23" spans="1:5" ht="16.5" customHeight="1" x14ac:dyDescent="0.3">
      <c r="A23" s="456" t="s">
        <v>10</v>
      </c>
      <c r="B23" s="457" t="s">
        <v>11</v>
      </c>
      <c r="C23" s="456" t="s">
        <v>12</v>
      </c>
      <c r="D23" s="456" t="s">
        <v>13</v>
      </c>
      <c r="E23" s="456" t="s">
        <v>14</v>
      </c>
    </row>
    <row r="24" spans="1:5" ht="16.5" customHeight="1" x14ac:dyDescent="0.3">
      <c r="A24" s="458">
        <v>1</v>
      </c>
      <c r="B24" s="459">
        <v>101148807</v>
      </c>
      <c r="C24" s="460">
        <v>8043.16</v>
      </c>
      <c r="D24" s="461">
        <v>1.06</v>
      </c>
      <c r="E24" s="462">
        <v>7.32</v>
      </c>
    </row>
    <row r="25" spans="1:5" ht="16.5" customHeight="1" x14ac:dyDescent="0.3">
      <c r="A25" s="458">
        <v>2</v>
      </c>
      <c r="B25" s="459">
        <v>101591829</v>
      </c>
      <c r="C25" s="460">
        <v>8330.35</v>
      </c>
      <c r="D25" s="461">
        <v>1.04</v>
      </c>
      <c r="E25" s="461">
        <v>7.3</v>
      </c>
    </row>
    <row r="26" spans="1:5" ht="16.5" customHeight="1" x14ac:dyDescent="0.3">
      <c r="A26" s="458">
        <v>3</v>
      </c>
      <c r="B26" s="459">
        <v>100948762</v>
      </c>
      <c r="C26" s="460">
        <v>8316.1200000000008</v>
      </c>
      <c r="D26" s="461">
        <v>1.05</v>
      </c>
      <c r="E26" s="461">
        <v>7.29</v>
      </c>
    </row>
    <row r="27" spans="1:5" ht="16.5" customHeight="1" x14ac:dyDescent="0.3">
      <c r="A27" s="458">
        <v>4</v>
      </c>
      <c r="B27" s="459">
        <v>101317656</v>
      </c>
      <c r="C27" s="460">
        <v>8348.5300000000007</v>
      </c>
      <c r="D27" s="461">
        <v>1.05</v>
      </c>
      <c r="E27" s="461">
        <v>7.8</v>
      </c>
    </row>
    <row r="28" spans="1:5" ht="16.5" customHeight="1" x14ac:dyDescent="0.3">
      <c r="A28" s="458">
        <v>5</v>
      </c>
      <c r="B28" s="459">
        <v>101233595</v>
      </c>
      <c r="C28" s="460">
        <v>8460.7900000000009</v>
      </c>
      <c r="D28" s="461">
        <v>1.02</v>
      </c>
      <c r="E28" s="461">
        <v>7.28</v>
      </c>
    </row>
    <row r="29" spans="1:5" ht="16.5" customHeight="1" x14ac:dyDescent="0.3">
      <c r="A29" s="458">
        <v>6</v>
      </c>
      <c r="B29" s="463">
        <v>101085428</v>
      </c>
      <c r="C29" s="464">
        <v>8427.51</v>
      </c>
      <c r="D29" s="465">
        <v>1.03</v>
      </c>
      <c r="E29" s="461">
        <v>7.28</v>
      </c>
    </row>
    <row r="30" spans="1:5" ht="16.5" customHeight="1" x14ac:dyDescent="0.3">
      <c r="A30" s="466" t="s">
        <v>15</v>
      </c>
      <c r="B30" s="467">
        <f>AVERAGE(B24:B29)</f>
        <v>101221012.83333333</v>
      </c>
      <c r="C30" s="468">
        <f>AVERAGE(C24:C29)</f>
        <v>8321.0766666666677</v>
      </c>
      <c r="D30" s="469">
        <f>AVERAGE(D24:D29)</f>
        <v>1.0416666666666667</v>
      </c>
      <c r="E30" s="469">
        <f>AVERAGE(E24:E29)</f>
        <v>7.3783333333333339</v>
      </c>
    </row>
    <row r="31" spans="1:5" ht="16.5" customHeight="1" x14ac:dyDescent="0.3">
      <c r="A31" s="470" t="s">
        <v>16</v>
      </c>
      <c r="B31" s="471">
        <f>(STDEV(B24:B29)/B30)</f>
        <v>2.1856434033952366E-3</v>
      </c>
      <c r="C31" s="472"/>
      <c r="D31" s="472"/>
      <c r="E31" s="473"/>
    </row>
    <row r="32" spans="1:5" s="450" customFormat="1" ht="16.5" customHeight="1" x14ac:dyDescent="0.3">
      <c r="A32" s="474" t="s">
        <v>17</v>
      </c>
      <c r="B32" s="475">
        <f>COUNT(B24:B29)</f>
        <v>6</v>
      </c>
      <c r="C32" s="476"/>
      <c r="D32" s="403"/>
      <c r="E32" s="477"/>
    </row>
    <row r="33" spans="1:5" s="450" customFormat="1" ht="15.75" customHeight="1" x14ac:dyDescent="0.25">
      <c r="A33" s="367"/>
      <c r="B33" s="367"/>
      <c r="C33" s="367"/>
      <c r="D33" s="367"/>
      <c r="E33" s="367"/>
    </row>
    <row r="34" spans="1:5" s="450" customFormat="1" ht="16.5" customHeight="1" x14ac:dyDescent="0.3">
      <c r="A34" s="405" t="s">
        <v>18</v>
      </c>
      <c r="B34" s="478" t="s">
        <v>131</v>
      </c>
      <c r="C34" s="479"/>
      <c r="D34" s="479"/>
      <c r="E34" s="479"/>
    </row>
    <row r="35" spans="1:5" ht="16.5" customHeight="1" x14ac:dyDescent="0.3">
      <c r="A35" s="405"/>
      <c r="B35" s="478" t="s">
        <v>132</v>
      </c>
      <c r="C35" s="479"/>
      <c r="D35" s="479"/>
      <c r="E35" s="479"/>
    </row>
    <row r="36" spans="1:5" ht="16.5" customHeight="1" x14ac:dyDescent="0.3">
      <c r="A36" s="405"/>
      <c r="B36" s="478" t="s">
        <v>133</v>
      </c>
      <c r="C36" s="479"/>
      <c r="D36" s="479"/>
      <c r="E36" s="479"/>
    </row>
    <row r="37" spans="1:5" ht="15.75" customHeight="1" x14ac:dyDescent="0.25">
      <c r="A37" s="367"/>
      <c r="B37" s="367"/>
      <c r="C37" s="367"/>
      <c r="D37" s="367"/>
      <c r="E37" s="367"/>
    </row>
    <row r="38" spans="1:5" ht="16.5" customHeight="1" x14ac:dyDescent="0.3">
      <c r="A38" s="366" t="s">
        <v>1</v>
      </c>
      <c r="B38" s="371" t="s">
        <v>19</v>
      </c>
    </row>
    <row r="39" spans="1:5" ht="16.5" customHeight="1" x14ac:dyDescent="0.3">
      <c r="A39" s="405" t="s">
        <v>4</v>
      </c>
      <c r="B39" s="452" t="s">
        <v>134</v>
      </c>
      <c r="C39" s="367"/>
      <c r="D39" s="367"/>
      <c r="E39" s="367"/>
    </row>
    <row r="40" spans="1:5" ht="16.5" customHeight="1" x14ac:dyDescent="0.3">
      <c r="A40" s="405" t="s">
        <v>6</v>
      </c>
      <c r="B40" s="454">
        <v>99.9</v>
      </c>
      <c r="C40" s="367"/>
      <c r="D40" s="367"/>
      <c r="E40" s="367"/>
    </row>
    <row r="41" spans="1:5" ht="16.5" customHeight="1" x14ac:dyDescent="0.3">
      <c r="A41" s="452" t="s">
        <v>7</v>
      </c>
      <c r="B41" s="454">
        <v>16.809999999999999</v>
      </c>
      <c r="C41" s="367"/>
      <c r="D41" s="367"/>
      <c r="E41" s="367"/>
    </row>
    <row r="42" spans="1:5" ht="16.5" customHeight="1" x14ac:dyDescent="0.3">
      <c r="A42" s="452" t="s">
        <v>8</v>
      </c>
      <c r="B42" s="455">
        <v>0.16</v>
      </c>
      <c r="C42" s="367"/>
      <c r="D42" s="367"/>
      <c r="E42" s="367"/>
    </row>
    <row r="43" spans="1:5" ht="15.75" customHeight="1" x14ac:dyDescent="0.3">
      <c r="A43" s="367"/>
      <c r="B43" s="455"/>
      <c r="C43" s="367"/>
      <c r="D43" s="367"/>
      <c r="E43" s="367"/>
    </row>
    <row r="44" spans="1:5" ht="16.5" customHeight="1" x14ac:dyDescent="0.3">
      <c r="A44" s="456" t="s">
        <v>10</v>
      </c>
      <c r="B44" s="457" t="s">
        <v>11</v>
      </c>
      <c r="C44" s="456" t="s">
        <v>12</v>
      </c>
      <c r="D44" s="456" t="s">
        <v>13</v>
      </c>
      <c r="E44" s="456" t="s">
        <v>14</v>
      </c>
    </row>
    <row r="45" spans="1:5" ht="16.5" customHeight="1" x14ac:dyDescent="0.3">
      <c r="A45" s="458">
        <v>1</v>
      </c>
      <c r="B45" s="459">
        <v>101148807</v>
      </c>
      <c r="C45" s="460">
        <v>8043.16</v>
      </c>
      <c r="D45" s="461">
        <v>1.06</v>
      </c>
      <c r="E45" s="462">
        <v>7.32</v>
      </c>
    </row>
    <row r="46" spans="1:5" ht="16.5" customHeight="1" x14ac:dyDescent="0.3">
      <c r="A46" s="458">
        <v>2</v>
      </c>
      <c r="B46" s="459">
        <v>101591829</v>
      </c>
      <c r="C46" s="460">
        <v>8330.35</v>
      </c>
      <c r="D46" s="461">
        <v>1.04</v>
      </c>
      <c r="E46" s="461">
        <v>7.3</v>
      </c>
    </row>
    <row r="47" spans="1:5" ht="16.5" customHeight="1" x14ac:dyDescent="0.3">
      <c r="A47" s="458">
        <v>3</v>
      </c>
      <c r="B47" s="459">
        <v>100948762</v>
      </c>
      <c r="C47" s="460">
        <v>8316.1200000000008</v>
      </c>
      <c r="D47" s="461">
        <v>1.05</v>
      </c>
      <c r="E47" s="461">
        <v>7.29</v>
      </c>
    </row>
    <row r="48" spans="1:5" ht="16.5" customHeight="1" x14ac:dyDescent="0.3">
      <c r="A48" s="458">
        <v>4</v>
      </c>
      <c r="B48" s="459">
        <v>101317656</v>
      </c>
      <c r="C48" s="460">
        <v>8348.5300000000007</v>
      </c>
      <c r="D48" s="461">
        <v>1.05</v>
      </c>
      <c r="E48" s="461">
        <v>7.8</v>
      </c>
    </row>
    <row r="49" spans="1:7" ht="16.5" customHeight="1" x14ac:dyDescent="0.3">
      <c r="A49" s="458">
        <v>5</v>
      </c>
      <c r="B49" s="459">
        <v>101233595</v>
      </c>
      <c r="C49" s="460">
        <v>8460.7900000000009</v>
      </c>
      <c r="D49" s="461">
        <v>1.02</v>
      </c>
      <c r="E49" s="461">
        <v>7.28</v>
      </c>
    </row>
    <row r="50" spans="1:7" ht="16.5" customHeight="1" x14ac:dyDescent="0.3">
      <c r="A50" s="458">
        <v>6</v>
      </c>
      <c r="B50" s="463">
        <v>101085428</v>
      </c>
      <c r="C50" s="464">
        <v>8427.51</v>
      </c>
      <c r="D50" s="465">
        <v>1.03</v>
      </c>
      <c r="E50" s="461">
        <v>7.28</v>
      </c>
    </row>
    <row r="51" spans="1:7" ht="16.5" customHeight="1" x14ac:dyDescent="0.3">
      <c r="A51" s="466" t="s">
        <v>15</v>
      </c>
      <c r="B51" s="467">
        <f>AVERAGE(B45:B50)</f>
        <v>101221012.83333333</v>
      </c>
      <c r="C51" s="468">
        <f>AVERAGE(C45:C50)</f>
        <v>8321.0766666666677</v>
      </c>
      <c r="D51" s="469">
        <f>AVERAGE(D45:D50)</f>
        <v>1.0416666666666667</v>
      </c>
      <c r="E51" s="469">
        <f>AVERAGE(E45:E50)</f>
        <v>7.3783333333333339</v>
      </c>
    </row>
    <row r="52" spans="1:7" ht="16.5" customHeight="1" x14ac:dyDescent="0.3">
      <c r="A52" s="470" t="s">
        <v>16</v>
      </c>
      <c r="B52" s="471">
        <f>(STDEV(B45:B50)/B51)</f>
        <v>2.1856434033952366E-3</v>
      </c>
      <c r="C52" s="472"/>
      <c r="D52" s="472"/>
      <c r="E52" s="473"/>
    </row>
    <row r="53" spans="1:7" s="450" customFormat="1" ht="16.5" customHeight="1" x14ac:dyDescent="0.3">
      <c r="A53" s="474" t="s">
        <v>17</v>
      </c>
      <c r="B53" s="475">
        <f>COUNT(B45:B50)</f>
        <v>6</v>
      </c>
      <c r="C53" s="476"/>
      <c r="D53" s="403"/>
      <c r="E53" s="477"/>
    </row>
    <row r="54" spans="1:7" s="450" customFormat="1" ht="15.75" customHeight="1" x14ac:dyDescent="0.25">
      <c r="A54" s="367"/>
      <c r="B54" s="367"/>
      <c r="C54" s="367"/>
      <c r="D54" s="367"/>
      <c r="E54" s="367"/>
    </row>
    <row r="55" spans="1:7" s="450" customFormat="1" ht="16.5" customHeight="1" x14ac:dyDescent="0.3">
      <c r="A55" s="405" t="s">
        <v>18</v>
      </c>
      <c r="B55" s="478" t="s">
        <v>131</v>
      </c>
      <c r="C55" s="479"/>
      <c r="D55" s="479"/>
      <c r="E55" s="479"/>
    </row>
    <row r="56" spans="1:7" ht="16.5" customHeight="1" x14ac:dyDescent="0.3">
      <c r="A56" s="405"/>
      <c r="B56" s="478" t="s">
        <v>132</v>
      </c>
      <c r="C56" s="479"/>
      <c r="D56" s="479"/>
      <c r="E56" s="479"/>
    </row>
    <row r="57" spans="1:7" ht="16.5" customHeight="1" x14ac:dyDescent="0.3">
      <c r="A57" s="405"/>
      <c r="B57" s="478" t="s">
        <v>133</v>
      </c>
      <c r="C57" s="479"/>
      <c r="D57" s="479"/>
      <c r="E57" s="479"/>
    </row>
    <row r="58" spans="1:7" ht="14.25" customHeight="1" thickBot="1" x14ac:dyDescent="0.3">
      <c r="A58" s="480"/>
      <c r="B58" s="376"/>
      <c r="D58" s="481"/>
      <c r="F58" s="407"/>
      <c r="G58" s="407"/>
    </row>
    <row r="59" spans="1:7" ht="15" customHeight="1" x14ac:dyDescent="0.3">
      <c r="B59" s="494" t="s">
        <v>20</v>
      </c>
      <c r="C59" s="494"/>
      <c r="E59" s="482" t="s">
        <v>21</v>
      </c>
      <c r="F59" s="483"/>
      <c r="G59" s="482" t="s">
        <v>22</v>
      </c>
    </row>
    <row r="60" spans="1:7" ht="15" customHeight="1" x14ac:dyDescent="0.3">
      <c r="A60" s="484" t="s">
        <v>23</v>
      </c>
      <c r="B60" s="485"/>
      <c r="C60" s="485"/>
      <c r="E60" s="485"/>
      <c r="G60" s="485"/>
    </row>
    <row r="61" spans="1:7" ht="15" customHeight="1" x14ac:dyDescent="0.3">
      <c r="A61" s="484" t="s">
        <v>24</v>
      </c>
      <c r="B61" s="486"/>
      <c r="C61" s="486"/>
      <c r="E61" s="486"/>
      <c r="G61" s="48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F54"/>
    </sheetView>
  </sheetViews>
  <sheetFormatPr defaultRowHeight="15" x14ac:dyDescent="0.3"/>
  <cols>
    <col min="1" max="1" width="15.5703125" style="364" customWidth="1"/>
    <col min="2" max="2" width="18.42578125" style="364" customWidth="1"/>
    <col min="3" max="3" width="14.28515625" style="364" customWidth="1"/>
    <col min="4" max="4" width="15" style="364" customWidth="1"/>
    <col min="5" max="5" width="9.140625" style="364" customWidth="1"/>
    <col min="6" max="6" width="27.85546875" style="364" customWidth="1"/>
    <col min="7" max="7" width="12.28515625" style="364" customWidth="1"/>
    <col min="8" max="8" width="9.140625" style="364" customWidth="1"/>
    <col min="9" max="16384" width="9.140625" style="407"/>
  </cols>
  <sheetData>
    <row r="10" spans="1:7" ht="13.5" customHeight="1" thickBot="1" x14ac:dyDescent="0.35"/>
    <row r="11" spans="1:7" ht="13.5" customHeight="1" thickBot="1" x14ac:dyDescent="0.35">
      <c r="A11" s="500" t="s">
        <v>25</v>
      </c>
      <c r="B11" s="501"/>
      <c r="C11" s="501"/>
      <c r="D11" s="501"/>
      <c r="E11" s="501"/>
      <c r="F11" s="502"/>
      <c r="G11" s="365"/>
    </row>
    <row r="12" spans="1:7" ht="16.5" customHeight="1" x14ac:dyDescent="0.3">
      <c r="A12" s="496" t="s">
        <v>26</v>
      </c>
      <c r="B12" s="496"/>
      <c r="C12" s="496"/>
      <c r="D12" s="496"/>
      <c r="E12" s="496"/>
      <c r="F12" s="496"/>
      <c r="G12" s="366"/>
    </row>
    <row r="14" spans="1:7" ht="16.5" customHeight="1" x14ac:dyDescent="0.3">
      <c r="A14" s="495" t="s">
        <v>27</v>
      </c>
      <c r="B14" s="495"/>
      <c r="C14" s="367" t="s">
        <v>123</v>
      </c>
    </row>
    <row r="15" spans="1:7" ht="16.5" customHeight="1" x14ac:dyDescent="0.3">
      <c r="A15" s="495" t="s">
        <v>28</v>
      </c>
      <c r="B15" s="495"/>
      <c r="C15" s="367" t="s">
        <v>124</v>
      </c>
    </row>
    <row r="16" spans="1:7" ht="16.5" customHeight="1" x14ac:dyDescent="0.3">
      <c r="A16" s="495" t="s">
        <v>29</v>
      </c>
      <c r="B16" s="495"/>
      <c r="C16" s="367" t="s">
        <v>125</v>
      </c>
    </row>
    <row r="17" spans="1:5" ht="16.5" customHeight="1" x14ac:dyDescent="0.3">
      <c r="A17" s="495" t="s">
        <v>30</v>
      </c>
      <c r="B17" s="495"/>
      <c r="C17" s="367" t="s">
        <v>126</v>
      </c>
    </row>
    <row r="18" spans="1:5" ht="16.5" customHeight="1" x14ac:dyDescent="0.3">
      <c r="A18" s="495" t="s">
        <v>31</v>
      </c>
      <c r="B18" s="495"/>
      <c r="C18" s="368" t="s">
        <v>127</v>
      </c>
    </row>
    <row r="19" spans="1:5" ht="16.5" customHeight="1" x14ac:dyDescent="0.3">
      <c r="A19" s="495" t="s">
        <v>32</v>
      </c>
      <c r="B19" s="495"/>
      <c r="C19" s="368" t="e">
        <f>#REF!</f>
        <v>#REF!</v>
      </c>
    </row>
    <row r="20" spans="1:5" ht="16.5" customHeight="1" x14ac:dyDescent="0.3">
      <c r="A20" s="369"/>
      <c r="B20" s="369"/>
      <c r="C20" s="370"/>
    </row>
    <row r="21" spans="1:5" ht="16.5" customHeight="1" x14ac:dyDescent="0.3">
      <c r="A21" s="496" t="s">
        <v>1</v>
      </c>
      <c r="B21" s="496"/>
      <c r="C21" s="371" t="s">
        <v>33</v>
      </c>
      <c r="D21" s="372"/>
    </row>
    <row r="22" spans="1:5" ht="15.75" customHeight="1" thickBot="1" x14ac:dyDescent="0.35">
      <c r="A22" s="497"/>
      <c r="B22" s="497"/>
      <c r="C22" s="373"/>
      <c r="D22" s="497"/>
      <c r="E22" s="497"/>
    </row>
    <row r="23" spans="1:5" ht="33.75" customHeight="1" thickBot="1" x14ac:dyDescent="0.35">
      <c r="C23" s="374" t="s">
        <v>34</v>
      </c>
      <c r="D23" s="375" t="s">
        <v>35</v>
      </c>
      <c r="E23" s="376"/>
    </row>
    <row r="24" spans="1:5" ht="15.75" customHeight="1" x14ac:dyDescent="0.3">
      <c r="C24" s="377">
        <v>1042.45</v>
      </c>
      <c r="D24" s="378">
        <f t="shared" ref="D24:D43" si="0">(C24-$C$46)/$C$46</f>
        <v>3.0801088093419323E-3</v>
      </c>
      <c r="E24" s="379"/>
    </row>
    <row r="25" spans="1:5" ht="15.75" customHeight="1" x14ac:dyDescent="0.3">
      <c r="C25" s="377">
        <v>1033.6600000000001</v>
      </c>
      <c r="D25" s="380">
        <f t="shared" si="0"/>
        <v>-5.377921941709992E-3</v>
      </c>
      <c r="E25" s="379"/>
    </row>
    <row r="26" spans="1:5" ht="15.75" customHeight="1" x14ac:dyDescent="0.3">
      <c r="C26" s="377">
        <v>1042.32</v>
      </c>
      <c r="D26" s="380">
        <f t="shared" si="0"/>
        <v>2.9550184796903194E-3</v>
      </c>
      <c r="E26" s="379"/>
    </row>
    <row r="27" spans="1:5" ht="15.75" customHeight="1" x14ac:dyDescent="0.3">
      <c r="C27" s="377">
        <v>1044.44</v>
      </c>
      <c r="D27" s="380">
        <f t="shared" si="0"/>
        <v>4.9949530863150236E-3</v>
      </c>
      <c r="E27" s="379"/>
    </row>
    <row r="28" spans="1:5" ht="15.75" customHeight="1" x14ac:dyDescent="0.3">
      <c r="C28" s="377">
        <v>1028.55</v>
      </c>
      <c r="D28" s="380">
        <f t="shared" si="0"/>
        <v>-1.0294934130319388E-2</v>
      </c>
      <c r="E28" s="379"/>
    </row>
    <row r="29" spans="1:5" ht="15.75" customHeight="1" x14ac:dyDescent="0.3">
      <c r="C29" s="377">
        <v>1032.31</v>
      </c>
      <c r="D29" s="380">
        <f t="shared" si="0"/>
        <v>-6.6769369034757825E-3</v>
      </c>
      <c r="E29" s="379"/>
    </row>
    <row r="30" spans="1:5" ht="15.75" customHeight="1" x14ac:dyDescent="0.3">
      <c r="C30" s="377">
        <v>1037.73</v>
      </c>
      <c r="D30" s="380">
        <f t="shared" si="0"/>
        <v>-1.4616323903128437E-3</v>
      </c>
      <c r="E30" s="379"/>
    </row>
    <row r="31" spans="1:5" ht="15.75" customHeight="1" x14ac:dyDescent="0.3">
      <c r="C31" s="377">
        <v>1054.28</v>
      </c>
      <c r="D31" s="380">
        <f t="shared" si="0"/>
        <v>1.4463328807629084E-2</v>
      </c>
      <c r="E31" s="379"/>
    </row>
    <row r="32" spans="1:5" ht="15.75" customHeight="1" x14ac:dyDescent="0.3">
      <c r="C32" s="377">
        <v>1025.54</v>
      </c>
      <c r="D32" s="380">
        <f t="shared" si="0"/>
        <v>-1.3191256378404294E-2</v>
      </c>
      <c r="E32" s="379"/>
    </row>
    <row r="33" spans="1:7" ht="15.75" customHeight="1" x14ac:dyDescent="0.3">
      <c r="C33" s="377">
        <v>1052.8</v>
      </c>
      <c r="D33" s="380">
        <f t="shared" si="0"/>
        <v>1.3039223516211899E-2</v>
      </c>
      <c r="E33" s="379"/>
    </row>
    <row r="34" spans="1:7" ht="15.75" customHeight="1" x14ac:dyDescent="0.3">
      <c r="C34" s="377">
        <v>1042.42</v>
      </c>
      <c r="D34" s="380">
        <f t="shared" si="0"/>
        <v>3.0512418101916105E-3</v>
      </c>
      <c r="E34" s="379"/>
    </row>
    <row r="35" spans="1:7" ht="15.75" customHeight="1" x14ac:dyDescent="0.3">
      <c r="C35" s="377">
        <v>1025.94</v>
      </c>
      <c r="D35" s="380">
        <f t="shared" si="0"/>
        <v>-1.2806363056399567E-2</v>
      </c>
      <c r="E35" s="379"/>
    </row>
    <row r="36" spans="1:7" ht="15.75" customHeight="1" x14ac:dyDescent="0.3">
      <c r="C36" s="377">
        <v>1031.6099999999999</v>
      </c>
      <c r="D36" s="380">
        <f t="shared" si="0"/>
        <v>-7.3505002169839467E-3</v>
      </c>
      <c r="E36" s="379"/>
    </row>
    <row r="37" spans="1:7" ht="15.75" customHeight="1" x14ac:dyDescent="0.3">
      <c r="C37" s="377">
        <v>1039.28</v>
      </c>
      <c r="D37" s="380">
        <f t="shared" si="0"/>
        <v>2.9829232455091788E-5</v>
      </c>
      <c r="E37" s="379"/>
    </row>
    <row r="38" spans="1:7" ht="15.75" customHeight="1" x14ac:dyDescent="0.3">
      <c r="C38" s="377">
        <v>1036.8399999999999</v>
      </c>
      <c r="D38" s="380">
        <f t="shared" si="0"/>
        <v>-2.3180200317732633E-3</v>
      </c>
      <c r="E38" s="379"/>
    </row>
    <row r="39" spans="1:7" ht="15.75" customHeight="1" x14ac:dyDescent="0.3">
      <c r="C39" s="377">
        <v>1044.7</v>
      </c>
      <c r="D39" s="380">
        <f t="shared" si="0"/>
        <v>5.2451337456180308E-3</v>
      </c>
      <c r="E39" s="379"/>
    </row>
    <row r="40" spans="1:7" ht="15.75" customHeight="1" x14ac:dyDescent="0.3">
      <c r="C40" s="377">
        <v>1047.05</v>
      </c>
      <c r="D40" s="380">
        <f t="shared" si="0"/>
        <v>7.5063820123952027E-3</v>
      </c>
      <c r="E40" s="379"/>
    </row>
    <row r="41" spans="1:7" ht="15.75" customHeight="1" x14ac:dyDescent="0.3">
      <c r="C41" s="377">
        <v>1033.74</v>
      </c>
      <c r="D41" s="380">
        <f t="shared" si="0"/>
        <v>-5.3009432773091347E-3</v>
      </c>
      <c r="E41" s="379"/>
    </row>
    <row r="42" spans="1:7" ht="15.75" customHeight="1" x14ac:dyDescent="0.3">
      <c r="C42" s="377">
        <v>1036.3399999999999</v>
      </c>
      <c r="D42" s="380">
        <f t="shared" si="0"/>
        <v>-2.7991366842790633E-3</v>
      </c>
      <c r="E42" s="379"/>
    </row>
    <row r="43" spans="1:7" ht="16.5" customHeight="1" thickBot="1" x14ac:dyDescent="0.35">
      <c r="C43" s="381">
        <v>1052.98</v>
      </c>
      <c r="D43" s="382">
        <f t="shared" si="0"/>
        <v>1.3212425511114049E-2</v>
      </c>
      <c r="E43" s="379"/>
    </row>
    <row r="44" spans="1:7" ht="16.5" customHeight="1" thickBot="1" x14ac:dyDescent="0.35">
      <c r="C44" s="383"/>
      <c r="D44" s="379"/>
      <c r="E44" s="384"/>
    </row>
    <row r="45" spans="1:7" ht="16.5" customHeight="1" thickBot="1" x14ac:dyDescent="0.35">
      <c r="B45" s="385" t="s">
        <v>36</v>
      </c>
      <c r="C45" s="386">
        <f>SUM(C24:C44)</f>
        <v>20784.980000000003</v>
      </c>
      <c r="D45" s="387"/>
      <c r="E45" s="383"/>
    </row>
    <row r="46" spans="1:7" ht="17.25" customHeight="1" thickBot="1" x14ac:dyDescent="0.35">
      <c r="B46" s="385" t="s">
        <v>37</v>
      </c>
      <c r="C46" s="388">
        <f>AVERAGE(C24:C44)</f>
        <v>1039.2490000000003</v>
      </c>
      <c r="E46" s="389"/>
    </row>
    <row r="47" spans="1:7" ht="17.25" customHeight="1" thickBot="1" x14ac:dyDescent="0.35">
      <c r="A47" s="367"/>
      <c r="B47" s="390"/>
      <c r="D47" s="391"/>
      <c r="E47" s="389"/>
    </row>
    <row r="48" spans="1:7" ht="33.75" customHeight="1" thickBot="1" x14ac:dyDescent="0.35">
      <c r="B48" s="392" t="s">
        <v>37</v>
      </c>
      <c r="C48" s="375" t="s">
        <v>38</v>
      </c>
      <c r="D48" s="393"/>
      <c r="G48" s="391"/>
    </row>
    <row r="49" spans="1:6" ht="17.25" customHeight="1" thickBot="1" x14ac:dyDescent="0.35">
      <c r="B49" s="498">
        <f>C46</f>
        <v>1039.2490000000003</v>
      </c>
      <c r="C49" s="394">
        <f>-IF(C46&lt;=80,10%,IF(C46&lt;250,7.5%,5%))</f>
        <v>-0.05</v>
      </c>
      <c r="D49" s="395">
        <f>IF(C46&lt;=80,C46*0.9,IF(C46&lt;250,C46*0.925,C46*0.95))</f>
        <v>987.28655000000015</v>
      </c>
    </row>
    <row r="50" spans="1:6" ht="17.25" customHeight="1" thickBot="1" x14ac:dyDescent="0.35">
      <c r="B50" s="499"/>
      <c r="C50" s="396">
        <f>IF(C46&lt;=80, 10%, IF(C46&lt;250, 7.5%, 5%))</f>
        <v>0.05</v>
      </c>
      <c r="D50" s="395">
        <f>IF(C46&lt;=80, C46*1.1, IF(C46&lt;250, C46*1.075, C46*1.05))</f>
        <v>1091.2114500000002</v>
      </c>
    </row>
    <row r="51" spans="1:6" ht="16.5" customHeight="1" thickBot="1" x14ac:dyDescent="0.35">
      <c r="A51" s="397"/>
      <c r="B51" s="398"/>
      <c r="C51" s="367"/>
      <c r="D51" s="399"/>
      <c r="E51" s="367"/>
      <c r="F51" s="372"/>
    </row>
    <row r="52" spans="1:6" ht="16.5" customHeight="1" x14ac:dyDescent="0.3">
      <c r="A52" s="367"/>
      <c r="B52" s="400" t="s">
        <v>20</v>
      </c>
      <c r="C52" s="400"/>
      <c r="D52" s="401" t="s">
        <v>21</v>
      </c>
      <c r="E52" s="402"/>
      <c r="F52" s="401" t="s">
        <v>22</v>
      </c>
    </row>
    <row r="53" spans="1:6" ht="34.5" customHeight="1" x14ac:dyDescent="0.3">
      <c r="A53" s="369" t="s">
        <v>23</v>
      </c>
      <c r="B53" s="403"/>
      <c r="C53" s="367"/>
      <c r="D53" s="403"/>
      <c r="E53" s="367"/>
      <c r="F53" s="403"/>
    </row>
    <row r="54" spans="1:6" ht="34.5" customHeight="1" x14ac:dyDescent="0.3">
      <c r="A54" s="369" t="s">
        <v>24</v>
      </c>
      <c r="B54" s="404"/>
      <c r="C54" s="405"/>
      <c r="D54" s="404"/>
      <c r="E54" s="367"/>
      <c r="F54" s="40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2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19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18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17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15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13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2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7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4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3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zoomScale="60" zoomScaleNormal="60" zoomScalePageLayoutView="55" workbookViewId="0">
      <selection activeCell="B21" sqref="B21:H2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1" t="s">
        <v>39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40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3"/>
    </row>
    <row r="16" spans="1:9" ht="19.5" customHeight="1" x14ac:dyDescent="0.3">
      <c r="A16" s="504" t="s">
        <v>25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41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5" t="s">
        <v>27</v>
      </c>
      <c r="B18" s="503" t="s">
        <v>5</v>
      </c>
      <c r="C18" s="503"/>
      <c r="D18" s="168"/>
      <c r="E18" s="6"/>
      <c r="F18" s="7"/>
      <c r="G18" s="7"/>
      <c r="H18" s="7"/>
    </row>
    <row r="19" spans="1:14" ht="26.25" customHeight="1" x14ac:dyDescent="0.4">
      <c r="A19" s="5" t="s">
        <v>28</v>
      </c>
      <c r="B19" s="8" t="s">
        <v>124</v>
      </c>
      <c r="C19" s="181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29</v>
      </c>
      <c r="B20" s="508" t="s">
        <v>122</v>
      </c>
      <c r="C20" s="508"/>
      <c r="D20" s="7"/>
      <c r="E20" s="7"/>
      <c r="F20" s="7"/>
      <c r="G20" s="7"/>
      <c r="H20" s="7"/>
    </row>
    <row r="21" spans="1:14" ht="26.25" customHeight="1" x14ac:dyDescent="0.4">
      <c r="A21" s="5" t="s">
        <v>30</v>
      </c>
      <c r="B21" s="508" t="s">
        <v>9</v>
      </c>
      <c r="C21" s="508"/>
      <c r="D21" s="508"/>
      <c r="E21" s="508"/>
      <c r="F21" s="508"/>
      <c r="G21" s="508"/>
      <c r="H21" s="508"/>
      <c r="I21" s="9"/>
    </row>
    <row r="22" spans="1:14" ht="26.25" customHeight="1" x14ac:dyDescent="0.4">
      <c r="A22" s="5" t="s">
        <v>31</v>
      </c>
      <c r="B22" s="189">
        <v>42543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32</v>
      </c>
      <c r="B23" s="189">
        <v>42563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03" t="s">
        <v>120</v>
      </c>
      <c r="C26" s="503"/>
    </row>
    <row r="27" spans="1:14" ht="26.25" customHeight="1" x14ac:dyDescent="0.4">
      <c r="A27" s="13" t="s">
        <v>42</v>
      </c>
      <c r="B27" s="509" t="s">
        <v>128</v>
      </c>
      <c r="C27" s="509"/>
    </row>
    <row r="28" spans="1:14" ht="27" customHeight="1" x14ac:dyDescent="0.4">
      <c r="A28" s="13" t="s">
        <v>6</v>
      </c>
      <c r="B28" s="14">
        <v>99.7</v>
      </c>
    </row>
    <row r="29" spans="1:14" s="2" customFormat="1" ht="27" customHeight="1" x14ac:dyDescent="0.4">
      <c r="A29" s="13" t="s">
        <v>43</v>
      </c>
      <c r="B29" s="15">
        <v>0</v>
      </c>
      <c r="C29" s="510" t="s">
        <v>44</v>
      </c>
      <c r="D29" s="511"/>
      <c r="E29" s="511"/>
      <c r="F29" s="511"/>
      <c r="G29" s="512"/>
      <c r="I29" s="16"/>
      <c r="J29" s="16"/>
      <c r="K29" s="16"/>
      <c r="L29" s="16"/>
    </row>
    <row r="30" spans="1:14" s="2" customFormat="1" ht="19.5" customHeight="1" x14ac:dyDescent="0.3">
      <c r="A30" s="13" t="s">
        <v>45</v>
      </c>
      <c r="B30" s="17">
        <f>B28-B29</f>
        <v>99.7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46</v>
      </c>
      <c r="B31" s="20">
        <v>1</v>
      </c>
      <c r="C31" s="513" t="s">
        <v>47</v>
      </c>
      <c r="D31" s="514"/>
      <c r="E31" s="514"/>
      <c r="F31" s="514"/>
      <c r="G31" s="514"/>
      <c r="H31" s="515"/>
      <c r="I31" s="16"/>
      <c r="J31" s="16"/>
      <c r="K31" s="16"/>
      <c r="L31" s="16"/>
    </row>
    <row r="32" spans="1:14" s="2" customFormat="1" ht="27" customHeight="1" x14ac:dyDescent="0.4">
      <c r="A32" s="13" t="s">
        <v>48</v>
      </c>
      <c r="B32" s="20">
        <v>1</v>
      </c>
      <c r="C32" s="513" t="s">
        <v>49</v>
      </c>
      <c r="D32" s="514"/>
      <c r="E32" s="514"/>
      <c r="F32" s="514"/>
      <c r="G32" s="514"/>
      <c r="H32" s="515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50</v>
      </c>
      <c r="B34" s="25">
        <f>B31/B32</f>
        <v>1</v>
      </c>
      <c r="C34" s="4" t="s">
        <v>51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52</v>
      </c>
      <c r="B36" s="27">
        <v>20</v>
      </c>
      <c r="C36" s="4"/>
      <c r="D36" s="516" t="s">
        <v>53</v>
      </c>
      <c r="E36" s="517"/>
      <c r="F36" s="516" t="s">
        <v>54</v>
      </c>
      <c r="G36" s="518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55</v>
      </c>
      <c r="B37" s="29">
        <v>4</v>
      </c>
      <c r="C37" s="30" t="s">
        <v>56</v>
      </c>
      <c r="D37" s="31" t="s">
        <v>57</v>
      </c>
      <c r="E37" s="32" t="s">
        <v>58</v>
      </c>
      <c r="F37" s="31" t="s">
        <v>57</v>
      </c>
      <c r="G37" s="33" t="s">
        <v>58</v>
      </c>
      <c r="I37" s="34" t="s">
        <v>59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60</v>
      </c>
      <c r="B38" s="29">
        <v>100</v>
      </c>
      <c r="C38" s="35">
        <v>1</v>
      </c>
      <c r="D38" s="216">
        <v>7620253</v>
      </c>
      <c r="E38" s="36">
        <f>IF(ISBLANK(D38),"-",$D$48/$D$45*D38)</f>
        <v>7735036.1013464173</v>
      </c>
      <c r="F38" s="216">
        <v>7950833</v>
      </c>
      <c r="G38" s="37">
        <f>IF(ISBLANK(F38),"-",$D$48/$F$45*F38)</f>
        <v>7799273.6154674292</v>
      </c>
      <c r="I38" s="38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61</v>
      </c>
      <c r="B39" s="29">
        <v>1</v>
      </c>
      <c r="C39" s="39">
        <v>2</v>
      </c>
      <c r="D39" s="221">
        <v>7635196</v>
      </c>
      <c r="E39" s="41">
        <f>IF(ISBLANK(D39),"-",$D$48/$D$45*D39)</f>
        <v>7750204.1862462778</v>
      </c>
      <c r="F39" s="221">
        <v>7944917</v>
      </c>
      <c r="G39" s="42">
        <f>IF(ISBLANK(F39),"-",$D$48/$F$45*F39)</f>
        <v>7793470.3867102535</v>
      </c>
      <c r="I39" s="520">
        <f>ABS((F43/D43*D42)-F42)/D42</f>
        <v>8.2998797520578826E-3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62</v>
      </c>
      <c r="B40" s="29">
        <v>1</v>
      </c>
      <c r="C40" s="39">
        <v>3</v>
      </c>
      <c r="D40" s="221">
        <v>7615983</v>
      </c>
      <c r="E40" s="41">
        <f>IF(ISBLANK(D40),"-",$D$48/$D$45*D40)</f>
        <v>7730701.7827676572</v>
      </c>
      <c r="F40" s="221">
        <v>7961166</v>
      </c>
      <c r="G40" s="42">
        <f>IF(ISBLANK(F40),"-",$D$48/$F$45*F40)</f>
        <v>7809409.6470340118</v>
      </c>
      <c r="I40" s="520"/>
      <c r="L40" s="21"/>
      <c r="M40" s="21"/>
      <c r="N40" s="43"/>
    </row>
    <row r="41" spans="1:14" ht="27" customHeight="1" x14ac:dyDescent="0.4">
      <c r="A41" s="28" t="s">
        <v>63</v>
      </c>
      <c r="B41" s="29">
        <v>1</v>
      </c>
      <c r="C41" s="44">
        <v>4</v>
      </c>
      <c r="D41" s="226"/>
      <c r="E41" s="45" t="str">
        <f>IF(ISBLANK(D41),"-",$D$48/$D$45*D41)</f>
        <v>-</v>
      </c>
      <c r="F41" s="226"/>
      <c r="G41" s="46" t="str">
        <f>IF(ISBLANK(F41),"-",$D$48/$F$45*F41)</f>
        <v>-</v>
      </c>
      <c r="I41" s="47"/>
      <c r="L41" s="21"/>
      <c r="M41" s="21"/>
      <c r="N41" s="43"/>
    </row>
    <row r="42" spans="1:14" ht="27" customHeight="1" x14ac:dyDescent="0.4">
      <c r="A42" s="28" t="s">
        <v>64</v>
      </c>
      <c r="B42" s="29">
        <v>1</v>
      </c>
      <c r="C42" s="48" t="s">
        <v>65</v>
      </c>
      <c r="D42" s="49">
        <f>AVERAGE(D38:D41)</f>
        <v>7623810.666666667</v>
      </c>
      <c r="E42" s="50">
        <f>AVERAGE(E38:E41)</f>
        <v>7738647.3567867838</v>
      </c>
      <c r="F42" s="49">
        <f>AVERAGE(F38:F41)</f>
        <v>7952305.333333333</v>
      </c>
      <c r="G42" s="51">
        <f>AVERAGE(G38:G41)</f>
        <v>7800717.8830705648</v>
      </c>
      <c r="H42" s="52"/>
    </row>
    <row r="43" spans="1:14" ht="26.25" customHeight="1" x14ac:dyDescent="0.4">
      <c r="A43" s="28" t="s">
        <v>66</v>
      </c>
      <c r="B43" s="29">
        <v>1</v>
      </c>
      <c r="C43" s="53" t="s">
        <v>67</v>
      </c>
      <c r="D43" s="54">
        <v>15.81</v>
      </c>
      <c r="E43" s="43"/>
      <c r="F43" s="54">
        <v>16.36</v>
      </c>
      <c r="H43" s="52"/>
    </row>
    <row r="44" spans="1:14" ht="26.25" customHeight="1" x14ac:dyDescent="0.4">
      <c r="A44" s="28" t="s">
        <v>68</v>
      </c>
      <c r="B44" s="29">
        <v>1</v>
      </c>
      <c r="C44" s="55" t="s">
        <v>69</v>
      </c>
      <c r="D44" s="56">
        <f>D43*$B$34</f>
        <v>15.81</v>
      </c>
      <c r="E44" s="57"/>
      <c r="F44" s="56">
        <f>F43*$B$34</f>
        <v>16.36</v>
      </c>
      <c r="H44" s="52"/>
    </row>
    <row r="45" spans="1:14" ht="19.5" customHeight="1" x14ac:dyDescent="0.3">
      <c r="A45" s="28" t="s">
        <v>70</v>
      </c>
      <c r="B45" s="58">
        <f>(B44/B43)*(B42/B41)*(B40/B39)*(B38/B37)*B36</f>
        <v>500</v>
      </c>
      <c r="C45" s="55" t="s">
        <v>71</v>
      </c>
      <c r="D45" s="59">
        <f>D44*$B$30/100</f>
        <v>15.76257</v>
      </c>
      <c r="E45" s="60"/>
      <c r="F45" s="59">
        <f>F44*$B$30/100</f>
        <v>16.310919999999999</v>
      </c>
      <c r="H45" s="52"/>
    </row>
    <row r="46" spans="1:14" ht="19.5" customHeight="1" x14ac:dyDescent="0.3">
      <c r="A46" s="521" t="s">
        <v>72</v>
      </c>
      <c r="B46" s="522"/>
      <c r="C46" s="55" t="s">
        <v>73</v>
      </c>
      <c r="D46" s="61">
        <f>D45/$B$45</f>
        <v>3.152514E-2</v>
      </c>
      <c r="E46" s="62"/>
      <c r="F46" s="63">
        <f>F45/$B$45</f>
        <v>3.2621839999999999E-2</v>
      </c>
      <c r="H46" s="52"/>
    </row>
    <row r="47" spans="1:14" ht="27" customHeight="1" x14ac:dyDescent="0.4">
      <c r="A47" s="523"/>
      <c r="B47" s="524"/>
      <c r="C47" s="64" t="s">
        <v>74</v>
      </c>
      <c r="D47" s="65">
        <v>3.2000000000000001E-2</v>
      </c>
      <c r="E47" s="66"/>
      <c r="F47" s="62"/>
      <c r="H47" s="52"/>
    </row>
    <row r="48" spans="1:14" ht="18.75" x14ac:dyDescent="0.3">
      <c r="C48" s="67" t="s">
        <v>75</v>
      </c>
      <c r="D48" s="59">
        <f>D47*$B$45</f>
        <v>16</v>
      </c>
      <c r="F48" s="68"/>
      <c r="H48" s="52"/>
    </row>
    <row r="49" spans="1:12" ht="19.5" customHeight="1" x14ac:dyDescent="0.3">
      <c r="C49" s="69" t="s">
        <v>76</v>
      </c>
      <c r="D49" s="70">
        <f>D48/B34</f>
        <v>16</v>
      </c>
      <c r="F49" s="68"/>
      <c r="H49" s="52"/>
    </row>
    <row r="50" spans="1:12" ht="18.75" x14ac:dyDescent="0.3">
      <c r="C50" s="26" t="s">
        <v>77</v>
      </c>
      <c r="D50" s="71">
        <f>AVERAGE(E38:E41,G38:G41)</f>
        <v>7769682.6199286738</v>
      </c>
      <c r="F50" s="72"/>
      <c r="H50" s="52"/>
    </row>
    <row r="51" spans="1:12" ht="18.75" x14ac:dyDescent="0.3">
      <c r="C51" s="28" t="s">
        <v>78</v>
      </c>
      <c r="D51" s="73">
        <f>STDEV(E38:E41,G38:G41)/D50</f>
        <v>4.502488152619998E-3</v>
      </c>
      <c r="F51" s="72"/>
      <c r="H51" s="52"/>
    </row>
    <row r="52" spans="1:12" ht="19.5" customHeight="1" x14ac:dyDescent="0.3">
      <c r="C52" s="74" t="s">
        <v>17</v>
      </c>
      <c r="D52" s="75">
        <f>COUNT(E38:E41,G38:G41)</f>
        <v>6</v>
      </c>
      <c r="F52" s="72"/>
    </row>
    <row r="54" spans="1:12" ht="18.75" x14ac:dyDescent="0.3">
      <c r="A54" s="76" t="s">
        <v>1</v>
      </c>
      <c r="B54" s="77" t="s">
        <v>79</v>
      </c>
    </row>
    <row r="55" spans="1:12" ht="18.75" x14ac:dyDescent="0.3">
      <c r="A55" s="4" t="s">
        <v>80</v>
      </c>
      <c r="B55" s="78" t="str">
        <f>B21</f>
        <v xml:space="preserve">Each tablet contains: Sulphamethoxazole B.P. 800 mg and Trimethoprim B.P. 160 mg.
</v>
      </c>
    </row>
    <row r="56" spans="1:12" ht="26.25" customHeight="1" x14ac:dyDescent="0.4">
      <c r="A56" s="79" t="s">
        <v>81</v>
      </c>
      <c r="B56" s="80">
        <v>160</v>
      </c>
      <c r="C56" s="4" t="str">
        <f>B20</f>
        <v>Trimethoprim BP</v>
      </c>
      <c r="H56" s="81"/>
    </row>
    <row r="57" spans="1:12" ht="18.75" x14ac:dyDescent="0.3">
      <c r="A57" s="78" t="s">
        <v>82</v>
      </c>
      <c r="B57" s="169">
        <f>Uniformity!C46</f>
        <v>1039.2490000000003</v>
      </c>
      <c r="H57" s="81"/>
    </row>
    <row r="58" spans="1:12" ht="19.5" customHeight="1" x14ac:dyDescent="0.3">
      <c r="H58" s="81"/>
    </row>
    <row r="59" spans="1:12" s="2" customFormat="1" ht="27" customHeight="1" x14ac:dyDescent="0.4">
      <c r="A59" s="26" t="s">
        <v>83</v>
      </c>
      <c r="B59" s="27">
        <v>100</v>
      </c>
      <c r="C59" s="4"/>
      <c r="D59" s="82" t="s">
        <v>84</v>
      </c>
      <c r="E59" s="83" t="s">
        <v>56</v>
      </c>
      <c r="F59" s="83" t="s">
        <v>57</v>
      </c>
      <c r="G59" s="83" t="s">
        <v>85</v>
      </c>
      <c r="H59" s="30" t="s">
        <v>86</v>
      </c>
      <c r="L59" s="16"/>
    </row>
    <row r="60" spans="1:12" s="2" customFormat="1" ht="26.25" customHeight="1" x14ac:dyDescent="0.4">
      <c r="A60" s="28" t="s">
        <v>87</v>
      </c>
      <c r="B60" s="29">
        <v>5</v>
      </c>
      <c r="C60" s="525" t="s">
        <v>88</v>
      </c>
      <c r="D60" s="528">
        <v>207.78</v>
      </c>
      <c r="E60" s="84">
        <v>1</v>
      </c>
      <c r="F60" s="85">
        <v>7674058</v>
      </c>
      <c r="G60" s="170">
        <f>IF(ISBLANK(F60),"-",(F60/$D$50*$D$47*$B$68)*($B$57/$D$60))</f>
        <v>158.08390306751045</v>
      </c>
      <c r="H60" s="86">
        <f t="shared" ref="H60:H71" si="0">IF(ISBLANK(F60),"-",G60/$B$56)</f>
        <v>0.98802439417194032</v>
      </c>
      <c r="L60" s="16"/>
    </row>
    <row r="61" spans="1:12" s="2" customFormat="1" ht="26.25" customHeight="1" x14ac:dyDescent="0.4">
      <c r="A61" s="28" t="s">
        <v>89</v>
      </c>
      <c r="B61" s="29">
        <v>50</v>
      </c>
      <c r="C61" s="526"/>
      <c r="D61" s="529"/>
      <c r="E61" s="87">
        <v>2</v>
      </c>
      <c r="F61" s="40">
        <v>7646853</v>
      </c>
      <c r="G61" s="171">
        <f>IF(ISBLANK(F61),"-",(F61/$D$50*$D$47*$B$68)*($B$57/$D$60))</f>
        <v>157.52348606480444</v>
      </c>
      <c r="H61" s="88">
        <f t="shared" si="0"/>
        <v>0.98452178790502776</v>
      </c>
      <c r="L61" s="16"/>
    </row>
    <row r="62" spans="1:12" s="2" customFormat="1" ht="26.25" customHeight="1" x14ac:dyDescent="0.4">
      <c r="A62" s="28" t="s">
        <v>90</v>
      </c>
      <c r="B62" s="29">
        <v>1</v>
      </c>
      <c r="C62" s="526"/>
      <c r="D62" s="529"/>
      <c r="E62" s="87">
        <v>3</v>
      </c>
      <c r="F62" s="89">
        <v>7673796</v>
      </c>
      <c r="G62" s="171">
        <f>IF(ISBLANK(F62),"-",(F62/$D$50*$D$47*$B$68)*($B$57/$D$60))</f>
        <v>158.07850592526788</v>
      </c>
      <c r="H62" s="88">
        <f t="shared" si="0"/>
        <v>0.98799066203292418</v>
      </c>
      <c r="L62" s="16"/>
    </row>
    <row r="63" spans="1:12" ht="27" customHeight="1" x14ac:dyDescent="0.4">
      <c r="A63" s="28" t="s">
        <v>91</v>
      </c>
      <c r="B63" s="29">
        <v>1</v>
      </c>
      <c r="C63" s="527"/>
      <c r="D63" s="530"/>
      <c r="E63" s="90">
        <v>4</v>
      </c>
      <c r="F63" s="91"/>
      <c r="G63" s="171" t="str">
        <f>IF(ISBLANK(F63),"-",(F63/$D$50*$D$47*$B$68)*($B$57/$D$60))</f>
        <v>-</v>
      </c>
      <c r="H63" s="88" t="str">
        <f t="shared" si="0"/>
        <v>-</v>
      </c>
    </row>
    <row r="64" spans="1:12" ht="26.25" customHeight="1" x14ac:dyDescent="0.4">
      <c r="A64" s="28" t="s">
        <v>92</v>
      </c>
      <c r="B64" s="29">
        <v>1</v>
      </c>
      <c r="C64" s="525" t="s">
        <v>93</v>
      </c>
      <c r="D64" s="528">
        <v>207.73</v>
      </c>
      <c r="E64" s="84">
        <v>1</v>
      </c>
      <c r="F64" s="85">
        <v>7653846</v>
      </c>
      <c r="G64" s="172">
        <f>IF(ISBLANK(F64),"-",(F64/$D$50*$D$47*$B$68)*($B$57/$D$64))</f>
        <v>157.70549043641543</v>
      </c>
      <c r="H64" s="92">
        <f t="shared" si="0"/>
        <v>0.98565931522759642</v>
      </c>
    </row>
    <row r="65" spans="1:8" ht="26.25" customHeight="1" x14ac:dyDescent="0.4">
      <c r="A65" s="28" t="s">
        <v>94</v>
      </c>
      <c r="B65" s="29">
        <v>1</v>
      </c>
      <c r="C65" s="526"/>
      <c r="D65" s="529"/>
      <c r="E65" s="87">
        <v>2</v>
      </c>
      <c r="F65" s="40">
        <v>7676294</v>
      </c>
      <c r="G65" s="173">
        <f>IF(ISBLANK(F65),"-",(F65/$D$50*$D$47*$B$68)*($B$57/$D$64))</f>
        <v>158.16802559185447</v>
      </c>
      <c r="H65" s="93">
        <f t="shared" si="0"/>
        <v>0.98855015994909046</v>
      </c>
    </row>
    <row r="66" spans="1:8" ht="26.25" customHeight="1" x14ac:dyDescent="0.4">
      <c r="A66" s="28" t="s">
        <v>95</v>
      </c>
      <c r="B66" s="29">
        <v>1</v>
      </c>
      <c r="C66" s="526"/>
      <c r="D66" s="529"/>
      <c r="E66" s="87">
        <v>3</v>
      </c>
      <c r="F66" s="40">
        <v>7660981</v>
      </c>
      <c r="G66" s="173">
        <f>IF(ISBLANK(F66),"-",(F66/$D$50*$D$47*$B$68)*($B$57/$D$64))</f>
        <v>157.85250524103313</v>
      </c>
      <c r="H66" s="93">
        <f t="shared" si="0"/>
        <v>0.98657815775645707</v>
      </c>
    </row>
    <row r="67" spans="1:8" ht="27" customHeight="1" x14ac:dyDescent="0.4">
      <c r="A67" s="28" t="s">
        <v>96</v>
      </c>
      <c r="B67" s="29">
        <v>1</v>
      </c>
      <c r="C67" s="527"/>
      <c r="D67" s="530"/>
      <c r="E67" s="90">
        <v>4</v>
      </c>
      <c r="F67" s="91"/>
      <c r="G67" s="174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4">
      <c r="A68" s="28" t="s">
        <v>97</v>
      </c>
      <c r="B68" s="95">
        <f>(B67/B66)*(B65/B64)*(B63/B62)*(B61/B60)*B59</f>
        <v>1000</v>
      </c>
      <c r="C68" s="525" t="s">
        <v>98</v>
      </c>
      <c r="D68" s="528">
        <v>209.39</v>
      </c>
      <c r="E68" s="84">
        <v>1</v>
      </c>
      <c r="F68" s="85">
        <v>7769171</v>
      </c>
      <c r="G68" s="172">
        <f>IF(ISBLANK(F68),"-",(F68/$D$50*$D$47*$B$68)*($B$57/$D$68))</f>
        <v>158.81263743744094</v>
      </c>
      <c r="H68" s="88">
        <f t="shared" si="0"/>
        <v>0.9925789839840059</v>
      </c>
    </row>
    <row r="69" spans="1:8" ht="27" customHeight="1" x14ac:dyDescent="0.4">
      <c r="A69" s="74" t="s">
        <v>99</v>
      </c>
      <c r="B69" s="96">
        <f>(D47*B68)/B56*B57</f>
        <v>207.84980000000007</v>
      </c>
      <c r="C69" s="526"/>
      <c r="D69" s="529"/>
      <c r="E69" s="87">
        <v>2</v>
      </c>
      <c r="F69" s="40">
        <v>7795097</v>
      </c>
      <c r="G69" s="173">
        <f>IF(ISBLANK(F69),"-",(F69/$D$50*$D$47*$B$68)*($B$57/$D$68))</f>
        <v>159.34260085801733</v>
      </c>
      <c r="H69" s="88">
        <f t="shared" si="0"/>
        <v>0.99589125536260836</v>
      </c>
    </row>
    <row r="70" spans="1:8" ht="26.25" customHeight="1" x14ac:dyDescent="0.4">
      <c r="A70" s="538" t="s">
        <v>72</v>
      </c>
      <c r="B70" s="539"/>
      <c r="C70" s="526"/>
      <c r="D70" s="529"/>
      <c r="E70" s="87">
        <v>3</v>
      </c>
      <c r="F70" s="40">
        <v>7767600</v>
      </c>
      <c r="G70" s="173">
        <f>IF(ISBLANK(F70),"-",(F70/$D$50*$D$47*$B$68)*($B$57/$D$68))</f>
        <v>158.78052401717844</v>
      </c>
      <c r="H70" s="88">
        <f t="shared" si="0"/>
        <v>0.9923782751073652</v>
      </c>
    </row>
    <row r="71" spans="1:8" ht="27" customHeight="1" x14ac:dyDescent="0.4">
      <c r="A71" s="540"/>
      <c r="B71" s="541"/>
      <c r="C71" s="537"/>
      <c r="D71" s="530"/>
      <c r="E71" s="90">
        <v>4</v>
      </c>
      <c r="F71" s="91"/>
      <c r="G71" s="174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">
      <c r="A72" s="98"/>
      <c r="B72" s="98"/>
      <c r="C72" s="98"/>
      <c r="D72" s="98"/>
      <c r="E72" s="98"/>
      <c r="F72" s="100" t="s">
        <v>65</v>
      </c>
      <c r="G72" s="179">
        <f>AVERAGE(G60:G71)</f>
        <v>158.26085318216914</v>
      </c>
      <c r="H72" s="101">
        <f>AVERAGE(H60:H71)</f>
        <v>0.98913033238855752</v>
      </c>
    </row>
    <row r="73" spans="1:8" ht="26.25" customHeight="1" x14ac:dyDescent="0.4">
      <c r="C73" s="98"/>
      <c r="D73" s="98"/>
      <c r="E73" s="98"/>
      <c r="F73" s="102" t="s">
        <v>78</v>
      </c>
      <c r="G73" s="175">
        <f>STDEV(G60:G71)/G72</f>
        <v>3.7626455213564721E-3</v>
      </c>
      <c r="H73" s="175">
        <f>STDEV(H60:H71)/H72</f>
        <v>3.7626455213564812E-3</v>
      </c>
    </row>
    <row r="74" spans="1:8" ht="27" customHeight="1" x14ac:dyDescent="0.4">
      <c r="A74" s="98"/>
      <c r="B74" s="98"/>
      <c r="C74" s="99"/>
      <c r="D74" s="99"/>
      <c r="E74" s="103"/>
      <c r="F74" s="104" t="s">
        <v>17</v>
      </c>
      <c r="G74" s="105">
        <f>COUNT(G60:G71)</f>
        <v>9</v>
      </c>
      <c r="H74" s="105">
        <f>COUNT(H60:H71)</f>
        <v>9</v>
      </c>
    </row>
    <row r="76" spans="1:8" ht="26.25" customHeight="1" x14ac:dyDescent="0.4">
      <c r="A76" s="12" t="s">
        <v>100</v>
      </c>
      <c r="B76" s="106" t="s">
        <v>101</v>
      </c>
      <c r="C76" s="533" t="str">
        <f>B20</f>
        <v>Trimethoprim BP</v>
      </c>
      <c r="D76" s="533"/>
      <c r="E76" s="107" t="s">
        <v>102</v>
      </c>
      <c r="F76" s="107"/>
      <c r="G76" s="108">
        <f>H72</f>
        <v>0.98913033238855752</v>
      </c>
      <c r="H76" s="109"/>
    </row>
    <row r="77" spans="1:8" ht="18.75" x14ac:dyDescent="0.3">
      <c r="A77" s="11" t="s">
        <v>103</v>
      </c>
      <c r="B77" s="11" t="s">
        <v>104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19" t="str">
        <f>B26</f>
        <v>Trimethoprim</v>
      </c>
      <c r="C79" s="519"/>
    </row>
    <row r="80" spans="1:8" ht="26.25" customHeight="1" x14ac:dyDescent="0.4">
      <c r="A80" s="13" t="s">
        <v>42</v>
      </c>
      <c r="B80" s="519" t="str">
        <f>B27</f>
        <v>T7 3</v>
      </c>
      <c r="C80" s="519"/>
    </row>
    <row r="81" spans="1:12" ht="27" customHeight="1" x14ac:dyDescent="0.4">
      <c r="A81" s="13" t="s">
        <v>6</v>
      </c>
      <c r="B81" s="110">
        <f>B28</f>
        <v>99.7</v>
      </c>
    </row>
    <row r="82" spans="1:12" s="2" customFormat="1" ht="27" customHeight="1" x14ac:dyDescent="0.4">
      <c r="A82" s="13" t="s">
        <v>43</v>
      </c>
      <c r="B82" s="15">
        <v>0</v>
      </c>
      <c r="C82" s="510" t="s">
        <v>44</v>
      </c>
      <c r="D82" s="511"/>
      <c r="E82" s="511"/>
      <c r="F82" s="511"/>
      <c r="G82" s="512"/>
      <c r="I82" s="16"/>
      <c r="J82" s="16"/>
      <c r="K82" s="16"/>
      <c r="L82" s="16"/>
    </row>
    <row r="83" spans="1:12" s="2" customFormat="1" ht="19.5" customHeight="1" x14ac:dyDescent="0.3">
      <c r="A83" s="13" t="s">
        <v>45</v>
      </c>
      <c r="B83" s="17">
        <f>B81-B82</f>
        <v>99.7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46</v>
      </c>
      <c r="B84" s="20">
        <v>1</v>
      </c>
      <c r="C84" s="513" t="s">
        <v>105</v>
      </c>
      <c r="D84" s="514"/>
      <c r="E84" s="514"/>
      <c r="F84" s="514"/>
      <c r="G84" s="514"/>
      <c r="H84" s="515"/>
      <c r="I84" s="16"/>
      <c r="J84" s="16"/>
      <c r="K84" s="16"/>
      <c r="L84" s="16"/>
    </row>
    <row r="85" spans="1:12" s="2" customFormat="1" ht="27" customHeight="1" x14ac:dyDescent="0.4">
      <c r="A85" s="13" t="s">
        <v>48</v>
      </c>
      <c r="B85" s="20">
        <v>1</v>
      </c>
      <c r="C85" s="513" t="s">
        <v>106</v>
      </c>
      <c r="D85" s="514"/>
      <c r="E85" s="514"/>
      <c r="F85" s="514"/>
      <c r="G85" s="514"/>
      <c r="H85" s="515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50</v>
      </c>
      <c r="B87" s="25">
        <f>B84/B85</f>
        <v>1</v>
      </c>
      <c r="C87" s="4" t="s">
        <v>51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52</v>
      </c>
      <c r="B89" s="27">
        <v>20</v>
      </c>
      <c r="D89" s="111" t="s">
        <v>53</v>
      </c>
      <c r="E89" s="112"/>
      <c r="F89" s="516" t="s">
        <v>54</v>
      </c>
      <c r="G89" s="518"/>
    </row>
    <row r="90" spans="1:12" ht="27" customHeight="1" x14ac:dyDescent="0.4">
      <c r="A90" s="28" t="s">
        <v>55</v>
      </c>
      <c r="B90" s="29">
        <v>4</v>
      </c>
      <c r="C90" s="113" t="s">
        <v>56</v>
      </c>
      <c r="D90" s="31" t="s">
        <v>57</v>
      </c>
      <c r="E90" s="32" t="s">
        <v>58</v>
      </c>
      <c r="F90" s="31" t="s">
        <v>57</v>
      </c>
      <c r="G90" s="114" t="s">
        <v>58</v>
      </c>
      <c r="I90" s="34" t="s">
        <v>59</v>
      </c>
    </row>
    <row r="91" spans="1:12" ht="26.25" customHeight="1" x14ac:dyDescent="0.4">
      <c r="A91" s="28" t="s">
        <v>60</v>
      </c>
      <c r="B91" s="29">
        <v>100</v>
      </c>
      <c r="C91" s="115">
        <v>1</v>
      </c>
      <c r="D91" s="216">
        <v>7620253</v>
      </c>
      <c r="E91" s="36">
        <f>IF(ISBLANK(D91),"-",$D$101/$D$98*D91)</f>
        <v>8594484.5570515748</v>
      </c>
      <c r="F91" s="216">
        <v>7950833</v>
      </c>
      <c r="G91" s="37">
        <f>IF(ISBLANK(F91),"-",$D$101/$F$98*F91)</f>
        <v>8665859.5727415886</v>
      </c>
      <c r="I91" s="38"/>
    </row>
    <row r="92" spans="1:12" ht="26.25" customHeight="1" x14ac:dyDescent="0.4">
      <c r="A92" s="28" t="s">
        <v>61</v>
      </c>
      <c r="B92" s="29">
        <v>1</v>
      </c>
      <c r="C92" s="99">
        <v>2</v>
      </c>
      <c r="D92" s="221">
        <v>7635196</v>
      </c>
      <c r="E92" s="41">
        <f>IF(ISBLANK(D92),"-",$D$101/$D$98*D92)</f>
        <v>8611337.9847180862</v>
      </c>
      <c r="F92" s="221">
        <v>7944917</v>
      </c>
      <c r="G92" s="42">
        <f>IF(ISBLANK(F92),"-",$D$101/$F$98*F92)</f>
        <v>8659411.5407891702</v>
      </c>
      <c r="I92" s="520">
        <f>ABS((F96/D96*D95)-F95)/D95</f>
        <v>8.2998797520578826E-3</v>
      </c>
    </row>
    <row r="93" spans="1:12" ht="26.25" customHeight="1" x14ac:dyDescent="0.4">
      <c r="A93" s="28" t="s">
        <v>62</v>
      </c>
      <c r="B93" s="29">
        <v>1</v>
      </c>
      <c r="C93" s="99">
        <v>3</v>
      </c>
      <c r="D93" s="221">
        <v>7615983</v>
      </c>
      <c r="E93" s="41">
        <f>IF(ISBLANK(D93),"-",$D$101/$D$98*D93)</f>
        <v>8589668.6475196201</v>
      </c>
      <c r="F93" s="221">
        <v>7961166</v>
      </c>
      <c r="G93" s="42">
        <f>IF(ISBLANK(F93),"-",$D$101/$F$98*F93)</f>
        <v>8677121.8300377913</v>
      </c>
      <c r="I93" s="520"/>
    </row>
    <row r="94" spans="1:12" ht="27" customHeight="1" x14ac:dyDescent="0.4">
      <c r="A94" s="28" t="s">
        <v>63</v>
      </c>
      <c r="B94" s="29">
        <v>1</v>
      </c>
      <c r="C94" s="116">
        <v>4</v>
      </c>
      <c r="D94" s="226"/>
      <c r="E94" s="45" t="str">
        <f>IF(ISBLANK(D94),"-",$D$101/$D$98*D94)</f>
        <v>-</v>
      </c>
      <c r="F94" s="226"/>
      <c r="G94" s="46" t="str">
        <f>IF(ISBLANK(F94),"-",$D$101/$F$98*F94)</f>
        <v>-</v>
      </c>
      <c r="I94" s="47"/>
    </row>
    <row r="95" spans="1:12" ht="27" customHeight="1" x14ac:dyDescent="0.4">
      <c r="A95" s="28" t="s">
        <v>64</v>
      </c>
      <c r="B95" s="29">
        <v>1</v>
      </c>
      <c r="C95" s="117" t="s">
        <v>65</v>
      </c>
      <c r="D95" s="118">
        <f>AVERAGE(D91:D94)</f>
        <v>7623810.666666667</v>
      </c>
      <c r="E95" s="50">
        <f>AVERAGE(E91:E94)</f>
        <v>8598497.0630964264</v>
      </c>
      <c r="F95" s="119">
        <f>AVERAGE(F91:F94)</f>
        <v>7952305.333333333</v>
      </c>
      <c r="G95" s="120">
        <f>AVERAGE(G91:G94)</f>
        <v>8667464.3145228494</v>
      </c>
    </row>
    <row r="96" spans="1:12" ht="26.25" customHeight="1" x14ac:dyDescent="0.4">
      <c r="A96" s="28" t="s">
        <v>66</v>
      </c>
      <c r="B96" s="14">
        <v>1</v>
      </c>
      <c r="C96" s="121" t="s">
        <v>107</v>
      </c>
      <c r="D96" s="122">
        <f>D43</f>
        <v>15.81</v>
      </c>
      <c r="E96" s="43"/>
      <c r="F96" s="54">
        <f>F43</f>
        <v>16.36</v>
      </c>
    </row>
    <row r="97" spans="1:10" ht="26.25" customHeight="1" x14ac:dyDescent="0.4">
      <c r="A97" s="28" t="s">
        <v>68</v>
      </c>
      <c r="B97" s="14">
        <v>1</v>
      </c>
      <c r="C97" s="123" t="s">
        <v>108</v>
      </c>
      <c r="D97" s="124">
        <f>D96*$B$87</f>
        <v>15.81</v>
      </c>
      <c r="E97" s="57"/>
      <c r="F97" s="56">
        <f>F96*$B$87</f>
        <v>16.36</v>
      </c>
    </row>
    <row r="98" spans="1:10" ht="19.5" customHeight="1" x14ac:dyDescent="0.3">
      <c r="A98" s="28" t="s">
        <v>70</v>
      </c>
      <c r="B98" s="125">
        <f>(B97/B96)*(B95/B94)*(B93/B92)*(B91/B90)*B89</f>
        <v>500</v>
      </c>
      <c r="C98" s="123" t="s">
        <v>109</v>
      </c>
      <c r="D98" s="126">
        <f>D97*$B$83/100</f>
        <v>15.76257</v>
      </c>
      <c r="E98" s="60"/>
      <c r="F98" s="59">
        <f>F97*$B$83/100</f>
        <v>16.310919999999999</v>
      </c>
    </row>
    <row r="99" spans="1:10" ht="19.5" customHeight="1" x14ac:dyDescent="0.3">
      <c r="A99" s="521" t="s">
        <v>72</v>
      </c>
      <c r="B99" s="535"/>
      <c r="C99" s="123" t="s">
        <v>110</v>
      </c>
      <c r="D99" s="127">
        <f>D98/$B$98</f>
        <v>3.152514E-2</v>
      </c>
      <c r="E99" s="60"/>
      <c r="F99" s="63">
        <f>F98/$B$98</f>
        <v>3.2621839999999999E-2</v>
      </c>
      <c r="G99" s="128"/>
      <c r="H99" s="52"/>
    </row>
    <row r="100" spans="1:10" ht="19.5" customHeight="1" x14ac:dyDescent="0.3">
      <c r="A100" s="523"/>
      <c r="B100" s="536"/>
      <c r="C100" s="123" t="s">
        <v>74</v>
      </c>
      <c r="D100" s="129">
        <f>$B$56/$B$116</f>
        <v>3.5555555555555556E-2</v>
      </c>
      <c r="F100" s="68"/>
      <c r="G100" s="130"/>
      <c r="H100" s="52"/>
    </row>
    <row r="101" spans="1:10" ht="18.75" x14ac:dyDescent="0.3">
      <c r="C101" s="123" t="s">
        <v>75</v>
      </c>
      <c r="D101" s="124">
        <f>D100*$B$98</f>
        <v>17.777777777777779</v>
      </c>
      <c r="F101" s="68"/>
      <c r="G101" s="128"/>
      <c r="H101" s="52"/>
    </row>
    <row r="102" spans="1:10" ht="19.5" customHeight="1" x14ac:dyDescent="0.3">
      <c r="C102" s="131" t="s">
        <v>76</v>
      </c>
      <c r="D102" s="132">
        <f>D101/B34</f>
        <v>17.777777777777779</v>
      </c>
      <c r="F102" s="72"/>
      <c r="G102" s="128"/>
      <c r="H102" s="52"/>
      <c r="J102" s="133"/>
    </row>
    <row r="103" spans="1:10" ht="18.75" x14ac:dyDescent="0.3">
      <c r="C103" s="134" t="s">
        <v>111</v>
      </c>
      <c r="D103" s="135">
        <f>AVERAGE(E91:E94,G91:G94)</f>
        <v>8632980.6888096388</v>
      </c>
      <c r="F103" s="72"/>
      <c r="G103" s="136"/>
      <c r="H103" s="52"/>
      <c r="J103" s="137"/>
    </row>
    <row r="104" spans="1:10" ht="18.75" x14ac:dyDescent="0.3">
      <c r="C104" s="102" t="s">
        <v>78</v>
      </c>
      <c r="D104" s="138">
        <f>STDEV(E91:E94,G91:G94)/D103</f>
        <v>4.5024881526199902E-3</v>
      </c>
      <c r="F104" s="72"/>
      <c r="G104" s="128"/>
      <c r="H104" s="52"/>
      <c r="J104" s="137"/>
    </row>
    <row r="105" spans="1:10" ht="19.5" customHeight="1" x14ac:dyDescent="0.3">
      <c r="C105" s="104" t="s">
        <v>17</v>
      </c>
      <c r="D105" s="139">
        <f>COUNT(E91:E94,G91:G94)</f>
        <v>6</v>
      </c>
      <c r="F105" s="72"/>
      <c r="G105" s="128"/>
      <c r="H105" s="52"/>
      <c r="J105" s="137"/>
    </row>
    <row r="106" spans="1:10" ht="19.5" customHeight="1" x14ac:dyDescent="0.3">
      <c r="A106" s="76"/>
      <c r="B106" s="76"/>
      <c r="C106" s="76"/>
      <c r="D106" s="76"/>
      <c r="E106" s="76"/>
    </row>
    <row r="107" spans="1:10" ht="26.25" customHeight="1" x14ac:dyDescent="0.4">
      <c r="A107" s="26" t="s">
        <v>112</v>
      </c>
      <c r="B107" s="27">
        <v>900</v>
      </c>
      <c r="C107" s="140" t="s">
        <v>113</v>
      </c>
      <c r="D107" s="141" t="s">
        <v>57</v>
      </c>
      <c r="E107" s="142" t="s">
        <v>114</v>
      </c>
      <c r="F107" s="143" t="s">
        <v>115</v>
      </c>
    </row>
    <row r="108" spans="1:10" ht="26.25" customHeight="1" x14ac:dyDescent="0.4">
      <c r="A108" s="28" t="s">
        <v>116</v>
      </c>
      <c r="B108" s="29">
        <v>4</v>
      </c>
      <c r="C108" s="144">
        <v>1</v>
      </c>
      <c r="D108" s="145">
        <v>7635152</v>
      </c>
      <c r="E108" s="176">
        <f t="shared" ref="E108:E113" si="1">IF(ISBLANK(D108),"-",D108/$D$103*$D$100*$B$116)</f>
        <v>141.50666658892342</v>
      </c>
      <c r="F108" s="146">
        <f t="shared" ref="F108:F113" si="2">IF(ISBLANK(D108), "-", E108/$B$56)</f>
        <v>0.88441666618077142</v>
      </c>
    </row>
    <row r="109" spans="1:10" ht="26.25" customHeight="1" x14ac:dyDescent="0.4">
      <c r="A109" s="28" t="s">
        <v>89</v>
      </c>
      <c r="B109" s="29">
        <v>20</v>
      </c>
      <c r="C109" s="144">
        <v>2</v>
      </c>
      <c r="D109" s="145">
        <v>7679794</v>
      </c>
      <c r="E109" s="177">
        <f t="shared" si="1"/>
        <v>142.334042469569</v>
      </c>
      <c r="F109" s="147">
        <f t="shared" si="2"/>
        <v>0.88958776543480622</v>
      </c>
    </row>
    <row r="110" spans="1:10" ht="26.25" customHeight="1" x14ac:dyDescent="0.4">
      <c r="A110" s="28" t="s">
        <v>90</v>
      </c>
      <c r="B110" s="29">
        <v>1</v>
      </c>
      <c r="C110" s="144">
        <v>3</v>
      </c>
      <c r="D110" s="145">
        <v>7815850</v>
      </c>
      <c r="E110" s="177">
        <f t="shared" si="1"/>
        <v>144.85564662747214</v>
      </c>
      <c r="F110" s="147">
        <f t="shared" si="2"/>
        <v>0.90534779142170085</v>
      </c>
    </row>
    <row r="111" spans="1:10" ht="26.25" customHeight="1" x14ac:dyDescent="0.4">
      <c r="A111" s="28" t="s">
        <v>91</v>
      </c>
      <c r="B111" s="29">
        <v>1</v>
      </c>
      <c r="C111" s="144">
        <v>4</v>
      </c>
      <c r="D111" s="145">
        <v>7719035</v>
      </c>
      <c r="E111" s="177">
        <f t="shared" si="1"/>
        <v>143.06131850855496</v>
      </c>
      <c r="F111" s="147">
        <f t="shared" si="2"/>
        <v>0.89413324067846855</v>
      </c>
    </row>
    <row r="112" spans="1:10" ht="26.25" customHeight="1" x14ac:dyDescent="0.4">
      <c r="A112" s="28" t="s">
        <v>92</v>
      </c>
      <c r="B112" s="29">
        <v>1</v>
      </c>
      <c r="C112" s="144">
        <v>5</v>
      </c>
      <c r="D112" s="145">
        <v>7513646</v>
      </c>
      <c r="E112" s="177">
        <f t="shared" si="1"/>
        <v>139.25472595557994</v>
      </c>
      <c r="F112" s="147">
        <f t="shared" si="2"/>
        <v>0.87034203722237469</v>
      </c>
    </row>
    <row r="113" spans="1:10" ht="26.25" customHeight="1" x14ac:dyDescent="0.4">
      <c r="A113" s="28" t="s">
        <v>94</v>
      </c>
      <c r="B113" s="29">
        <v>1</v>
      </c>
      <c r="C113" s="148">
        <v>6</v>
      </c>
      <c r="D113" s="149">
        <v>8040339</v>
      </c>
      <c r="E113" s="178">
        <f t="shared" si="1"/>
        <v>149.01623047385542</v>
      </c>
      <c r="F113" s="150">
        <f t="shared" si="2"/>
        <v>0.93135144046159635</v>
      </c>
    </row>
    <row r="114" spans="1:10" ht="26.25" customHeight="1" x14ac:dyDescent="0.4">
      <c r="A114" s="28" t="s">
        <v>95</v>
      </c>
      <c r="B114" s="29">
        <v>1</v>
      </c>
      <c r="C114" s="144"/>
      <c r="D114" s="99"/>
      <c r="E114" s="3"/>
      <c r="F114" s="151"/>
    </row>
    <row r="115" spans="1:10" ht="26.25" customHeight="1" x14ac:dyDescent="0.4">
      <c r="A115" s="28" t="s">
        <v>96</v>
      </c>
      <c r="B115" s="29">
        <v>1</v>
      </c>
      <c r="C115" s="144"/>
      <c r="D115" s="152" t="s">
        <v>65</v>
      </c>
      <c r="E115" s="180">
        <f>AVERAGE(E108:E113)</f>
        <v>143.33810510399249</v>
      </c>
      <c r="F115" s="153">
        <f>AVERAGE(F108:F113)</f>
        <v>0.89586315689995299</v>
      </c>
    </row>
    <row r="116" spans="1:10" ht="27" customHeight="1" x14ac:dyDescent="0.4">
      <c r="A116" s="28" t="s">
        <v>97</v>
      </c>
      <c r="B116" s="58">
        <f>(B115/B114)*(B113/B112)*(B111/B110)*(B109/B108)*B107</f>
        <v>4500</v>
      </c>
      <c r="C116" s="154"/>
      <c r="D116" s="117" t="s">
        <v>78</v>
      </c>
      <c r="E116" s="155">
        <f>STDEV(E108:E113)/E115</f>
        <v>2.3276250403912183E-2</v>
      </c>
      <c r="F116" s="155">
        <f>STDEV(F108:F113)/F115</f>
        <v>2.3276250403912169E-2</v>
      </c>
      <c r="I116" s="3"/>
    </row>
    <row r="117" spans="1:10" ht="27" customHeight="1" x14ac:dyDescent="0.4">
      <c r="A117" s="521" t="s">
        <v>72</v>
      </c>
      <c r="B117" s="522"/>
      <c r="C117" s="156"/>
      <c r="D117" s="157" t="s">
        <v>17</v>
      </c>
      <c r="E117" s="158">
        <f>COUNT(E108:E113)</f>
        <v>6</v>
      </c>
      <c r="F117" s="158">
        <f>COUNT(F108:F113)</f>
        <v>6</v>
      </c>
      <c r="I117" s="3"/>
      <c r="J117" s="137"/>
    </row>
    <row r="118" spans="1:10" ht="19.5" customHeight="1" x14ac:dyDescent="0.3">
      <c r="A118" s="523"/>
      <c r="B118" s="524"/>
      <c r="C118" s="3"/>
      <c r="D118" s="3"/>
      <c r="E118" s="3"/>
      <c r="F118" s="99"/>
      <c r="G118" s="3"/>
      <c r="H118" s="3"/>
      <c r="I118" s="3"/>
    </row>
    <row r="119" spans="1:10" ht="18.75" x14ac:dyDescent="0.3">
      <c r="A119" s="167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">
      <c r="A120" s="12" t="s">
        <v>100</v>
      </c>
      <c r="B120" s="106" t="s">
        <v>117</v>
      </c>
      <c r="C120" s="533" t="str">
        <f>B20</f>
        <v>Trimethoprim BP</v>
      </c>
      <c r="D120" s="533"/>
      <c r="E120" s="107" t="s">
        <v>118</v>
      </c>
      <c r="F120" s="107"/>
      <c r="G120" s="108">
        <f>F115</f>
        <v>0.89586315689995299</v>
      </c>
      <c r="H120" s="3"/>
      <c r="I120" s="3"/>
    </row>
    <row r="121" spans="1:10" ht="19.5" customHeight="1" x14ac:dyDescent="0.3">
      <c r="A121" s="159"/>
      <c r="B121" s="159"/>
      <c r="C121" s="160"/>
      <c r="D121" s="160"/>
      <c r="E121" s="160"/>
      <c r="F121" s="160"/>
      <c r="G121" s="160"/>
      <c r="H121" s="160"/>
    </row>
    <row r="122" spans="1:10" ht="18.75" x14ac:dyDescent="0.3">
      <c r="B122" s="534" t="s">
        <v>20</v>
      </c>
      <c r="C122" s="534"/>
      <c r="E122" s="113" t="s">
        <v>21</v>
      </c>
      <c r="F122" s="161"/>
      <c r="G122" s="534" t="s">
        <v>22</v>
      </c>
      <c r="H122" s="534"/>
    </row>
    <row r="123" spans="1:10" ht="69.95" customHeight="1" x14ac:dyDescent="0.3">
      <c r="A123" s="162" t="s">
        <v>23</v>
      </c>
      <c r="B123" s="163"/>
      <c r="C123" s="163"/>
      <c r="E123" s="163"/>
      <c r="F123" s="3"/>
      <c r="G123" s="164"/>
      <c r="H123" s="164"/>
    </row>
    <row r="124" spans="1:10" ht="69.95" customHeight="1" x14ac:dyDescent="0.3">
      <c r="A124" s="162" t="s">
        <v>24</v>
      </c>
      <c r="B124" s="165"/>
      <c r="C124" s="165"/>
      <c r="E124" s="165"/>
      <c r="F124" s="3"/>
      <c r="G124" s="166"/>
      <c r="H124" s="166"/>
    </row>
    <row r="125" spans="1:10" ht="18.75" x14ac:dyDescent="0.3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.75" x14ac:dyDescent="0.3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.75" x14ac:dyDescent="0.3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.75" x14ac:dyDescent="0.3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.75" x14ac:dyDescent="0.3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.75" x14ac:dyDescent="0.3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.75" x14ac:dyDescent="0.3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.75" x14ac:dyDescent="0.3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.75" x14ac:dyDescent="0.3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zoomScale="60" zoomScaleNormal="60" zoomScalePageLayoutView="55" workbookViewId="0">
      <selection sqref="A1:I124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1" t="s">
        <v>39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40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182"/>
    </row>
    <row r="16" spans="1:9" ht="19.5" customHeight="1" x14ac:dyDescent="0.3">
      <c r="A16" s="504" t="s">
        <v>25</v>
      </c>
      <c r="B16" s="505"/>
      <c r="C16" s="505"/>
      <c r="D16" s="505"/>
      <c r="E16" s="505"/>
      <c r="F16" s="505"/>
      <c r="G16" s="505"/>
      <c r="H16" s="506"/>
    </row>
    <row r="17" spans="1:14" ht="20.25" customHeight="1" x14ac:dyDescent="0.25">
      <c r="A17" s="507" t="s">
        <v>41</v>
      </c>
      <c r="B17" s="507"/>
      <c r="C17" s="507"/>
      <c r="D17" s="507"/>
      <c r="E17" s="507"/>
      <c r="F17" s="507"/>
      <c r="G17" s="507"/>
      <c r="H17" s="507"/>
    </row>
    <row r="18" spans="1:14" ht="26.25" customHeight="1" x14ac:dyDescent="0.4">
      <c r="A18" s="184" t="s">
        <v>27</v>
      </c>
      <c r="B18" s="503" t="s">
        <v>5</v>
      </c>
      <c r="C18" s="503"/>
      <c r="D18" s="350"/>
      <c r="E18" s="185"/>
      <c r="F18" s="186"/>
      <c r="G18" s="186"/>
      <c r="H18" s="186"/>
    </row>
    <row r="19" spans="1:14" ht="26.25" customHeight="1" x14ac:dyDescent="0.4">
      <c r="A19" s="184" t="s">
        <v>28</v>
      </c>
      <c r="B19" s="187" t="s">
        <v>124</v>
      </c>
      <c r="C19" s="363">
        <v>29</v>
      </c>
      <c r="D19" s="186"/>
      <c r="E19" s="186"/>
      <c r="F19" s="186"/>
      <c r="G19" s="186"/>
      <c r="H19" s="186"/>
    </row>
    <row r="20" spans="1:14" ht="26.25" customHeight="1" x14ac:dyDescent="0.4">
      <c r="A20" s="184" t="s">
        <v>29</v>
      </c>
      <c r="B20" s="508" t="s">
        <v>121</v>
      </c>
      <c r="C20" s="508"/>
      <c r="D20" s="186"/>
      <c r="E20" s="186"/>
      <c r="F20" s="186"/>
      <c r="G20" s="186"/>
      <c r="H20" s="186"/>
    </row>
    <row r="21" spans="1:14" ht="26.25" customHeight="1" x14ac:dyDescent="0.4">
      <c r="A21" s="184" t="s">
        <v>30</v>
      </c>
      <c r="B21" s="508" t="s">
        <v>9</v>
      </c>
      <c r="C21" s="508"/>
      <c r="D21" s="508"/>
      <c r="E21" s="508"/>
      <c r="F21" s="508"/>
      <c r="G21" s="508"/>
      <c r="H21" s="508"/>
      <c r="I21" s="188"/>
    </row>
    <row r="22" spans="1:14" ht="26.25" customHeight="1" x14ac:dyDescent="0.4">
      <c r="A22" s="184" t="s">
        <v>31</v>
      </c>
      <c r="B22" s="189">
        <f>Trimethoprim!B22</f>
        <v>42543</v>
      </c>
      <c r="C22" s="186"/>
      <c r="D22" s="186"/>
      <c r="E22" s="186"/>
      <c r="F22" s="186"/>
      <c r="G22" s="186"/>
      <c r="H22" s="186"/>
    </row>
    <row r="23" spans="1:14" ht="26.25" customHeight="1" x14ac:dyDescent="0.4">
      <c r="A23" s="184" t="s">
        <v>32</v>
      </c>
      <c r="B23" s="189">
        <f>Trimethoprim!B23</f>
        <v>42563</v>
      </c>
      <c r="C23" s="186"/>
      <c r="D23" s="186"/>
      <c r="E23" s="186"/>
      <c r="F23" s="186"/>
      <c r="G23" s="186"/>
      <c r="H23" s="186"/>
    </row>
    <row r="24" spans="1:14" ht="18.75" x14ac:dyDescent="0.3">
      <c r="A24" s="184"/>
      <c r="B24" s="190"/>
    </row>
    <row r="25" spans="1:14" ht="18.75" x14ac:dyDescent="0.3">
      <c r="A25" s="191" t="s">
        <v>1</v>
      </c>
      <c r="B25" s="190"/>
    </row>
    <row r="26" spans="1:14" ht="26.25" customHeight="1" x14ac:dyDescent="0.4">
      <c r="A26" s="192" t="s">
        <v>4</v>
      </c>
      <c r="B26" s="503" t="s">
        <v>119</v>
      </c>
      <c r="C26" s="503"/>
    </row>
    <row r="27" spans="1:14" ht="26.25" customHeight="1" x14ac:dyDescent="0.4">
      <c r="A27" s="193" t="s">
        <v>42</v>
      </c>
      <c r="B27" s="509" t="s">
        <v>129</v>
      </c>
      <c r="C27" s="509"/>
    </row>
    <row r="28" spans="1:14" ht="27" customHeight="1" x14ac:dyDescent="0.4">
      <c r="A28" s="193" t="s">
        <v>6</v>
      </c>
      <c r="B28" s="194">
        <v>99.9</v>
      </c>
    </row>
    <row r="29" spans="1:14" s="2" customFormat="1" ht="27" customHeight="1" x14ac:dyDescent="0.4">
      <c r="A29" s="193" t="s">
        <v>43</v>
      </c>
      <c r="B29" s="195">
        <v>0</v>
      </c>
      <c r="C29" s="510" t="s">
        <v>44</v>
      </c>
      <c r="D29" s="511"/>
      <c r="E29" s="511"/>
      <c r="F29" s="511"/>
      <c r="G29" s="512"/>
      <c r="I29" s="196"/>
      <c r="J29" s="196"/>
      <c r="K29" s="196"/>
      <c r="L29" s="196"/>
    </row>
    <row r="30" spans="1:14" s="2" customFormat="1" ht="19.5" customHeight="1" x14ac:dyDescent="0.3">
      <c r="A30" s="193" t="s">
        <v>45</v>
      </c>
      <c r="B30" s="197">
        <f>B28-B29</f>
        <v>99.9</v>
      </c>
      <c r="C30" s="198"/>
      <c r="D30" s="198"/>
      <c r="E30" s="198"/>
      <c r="F30" s="198"/>
      <c r="G30" s="199"/>
      <c r="I30" s="196"/>
      <c r="J30" s="196"/>
      <c r="K30" s="196"/>
      <c r="L30" s="196"/>
    </row>
    <row r="31" spans="1:14" s="2" customFormat="1" ht="27" customHeight="1" x14ac:dyDescent="0.4">
      <c r="A31" s="193" t="s">
        <v>46</v>
      </c>
      <c r="B31" s="200">
        <v>1</v>
      </c>
      <c r="C31" s="513" t="s">
        <v>47</v>
      </c>
      <c r="D31" s="514"/>
      <c r="E31" s="514"/>
      <c r="F31" s="514"/>
      <c r="G31" s="514"/>
      <c r="H31" s="515"/>
      <c r="I31" s="196"/>
      <c r="J31" s="196"/>
      <c r="K31" s="196"/>
      <c r="L31" s="196"/>
    </row>
    <row r="32" spans="1:14" s="2" customFormat="1" ht="27" customHeight="1" x14ac:dyDescent="0.4">
      <c r="A32" s="193" t="s">
        <v>48</v>
      </c>
      <c r="B32" s="200">
        <v>1</v>
      </c>
      <c r="C32" s="513" t="s">
        <v>49</v>
      </c>
      <c r="D32" s="514"/>
      <c r="E32" s="514"/>
      <c r="F32" s="514"/>
      <c r="G32" s="514"/>
      <c r="H32" s="515"/>
      <c r="I32" s="196"/>
      <c r="J32" s="196"/>
      <c r="K32" s="196"/>
      <c r="L32" s="201"/>
      <c r="M32" s="201"/>
      <c r="N32" s="202"/>
    </row>
    <row r="33" spans="1:14" s="2" customFormat="1" ht="17.25" customHeight="1" x14ac:dyDescent="0.3">
      <c r="A33" s="193"/>
      <c r="B33" s="203"/>
      <c r="C33" s="204"/>
      <c r="D33" s="204"/>
      <c r="E33" s="204"/>
      <c r="F33" s="204"/>
      <c r="G33" s="204"/>
      <c r="H33" s="204"/>
      <c r="I33" s="196"/>
      <c r="J33" s="196"/>
      <c r="K33" s="196"/>
      <c r="L33" s="201"/>
      <c r="M33" s="201"/>
      <c r="N33" s="202"/>
    </row>
    <row r="34" spans="1:14" s="2" customFormat="1" ht="18.75" x14ac:dyDescent="0.3">
      <c r="A34" s="193" t="s">
        <v>50</v>
      </c>
      <c r="B34" s="205">
        <f>B31/B32</f>
        <v>1</v>
      </c>
      <c r="C34" s="183" t="s">
        <v>51</v>
      </c>
      <c r="D34" s="183"/>
      <c r="E34" s="183"/>
      <c r="F34" s="183"/>
      <c r="G34" s="183"/>
      <c r="I34" s="196"/>
      <c r="J34" s="196"/>
      <c r="K34" s="196"/>
      <c r="L34" s="201"/>
      <c r="M34" s="201"/>
      <c r="N34" s="202"/>
    </row>
    <row r="35" spans="1:14" s="2" customFormat="1" ht="19.5" customHeight="1" x14ac:dyDescent="0.3">
      <c r="A35" s="193"/>
      <c r="B35" s="197"/>
      <c r="G35" s="183"/>
      <c r="I35" s="196"/>
      <c r="J35" s="196"/>
      <c r="K35" s="196"/>
      <c r="L35" s="201"/>
      <c r="M35" s="201"/>
      <c r="N35" s="202"/>
    </row>
    <row r="36" spans="1:14" s="2" customFormat="1" ht="27" customHeight="1" x14ac:dyDescent="0.4">
      <c r="A36" s="206" t="s">
        <v>52</v>
      </c>
      <c r="B36" s="207">
        <v>100</v>
      </c>
      <c r="C36" s="183"/>
      <c r="D36" s="516" t="s">
        <v>53</v>
      </c>
      <c r="E36" s="517"/>
      <c r="F36" s="516" t="s">
        <v>54</v>
      </c>
      <c r="G36" s="518"/>
      <c r="J36" s="196"/>
      <c r="K36" s="196"/>
      <c r="L36" s="201"/>
      <c r="M36" s="201"/>
      <c r="N36" s="202"/>
    </row>
    <row r="37" spans="1:14" s="2" customFormat="1" ht="27" customHeight="1" x14ac:dyDescent="0.4">
      <c r="A37" s="208" t="s">
        <v>55</v>
      </c>
      <c r="B37" s="209">
        <v>1</v>
      </c>
      <c r="C37" s="210" t="s">
        <v>56</v>
      </c>
      <c r="D37" s="211" t="s">
        <v>57</v>
      </c>
      <c r="E37" s="212" t="s">
        <v>58</v>
      </c>
      <c r="F37" s="211" t="s">
        <v>57</v>
      </c>
      <c r="G37" s="213" t="s">
        <v>58</v>
      </c>
      <c r="I37" s="214" t="s">
        <v>59</v>
      </c>
      <c r="J37" s="196"/>
      <c r="K37" s="196"/>
      <c r="L37" s="201"/>
      <c r="M37" s="201"/>
      <c r="N37" s="202"/>
    </row>
    <row r="38" spans="1:14" s="2" customFormat="1" ht="26.25" customHeight="1" x14ac:dyDescent="0.4">
      <c r="A38" s="208" t="s">
        <v>60</v>
      </c>
      <c r="B38" s="209">
        <v>1</v>
      </c>
      <c r="C38" s="215">
        <v>1</v>
      </c>
      <c r="D38" s="216">
        <v>101237474</v>
      </c>
      <c r="E38" s="217">
        <f>IF(ISBLANK(D38),"-",$D$48/$D$45*D38)</f>
        <v>96455740.928316787</v>
      </c>
      <c r="F38" s="216">
        <v>97378930</v>
      </c>
      <c r="G38" s="218">
        <f>IF(ISBLANK(F38),"-",$D$48/$F$45*F38)</f>
        <v>95917743.08133471</v>
      </c>
      <c r="I38" s="219"/>
      <c r="J38" s="196"/>
      <c r="K38" s="196"/>
      <c r="L38" s="201"/>
      <c r="M38" s="201"/>
      <c r="N38" s="202"/>
    </row>
    <row r="39" spans="1:14" s="2" customFormat="1" ht="26.25" customHeight="1" x14ac:dyDescent="0.4">
      <c r="A39" s="208" t="s">
        <v>61</v>
      </c>
      <c r="B39" s="209">
        <v>1</v>
      </c>
      <c r="C39" s="220">
        <v>2</v>
      </c>
      <c r="D39" s="221">
        <v>101406841</v>
      </c>
      <c r="E39" s="222">
        <f>IF(ISBLANK(D39),"-",$D$48/$D$45*D39)</f>
        <v>96617108.244472921</v>
      </c>
      <c r="F39" s="221">
        <v>97223561</v>
      </c>
      <c r="G39" s="223">
        <f>IF(ISBLANK(F39),"-",$D$48/$F$45*F39)</f>
        <v>95764705.418825939</v>
      </c>
      <c r="I39" s="520">
        <f>ABS((F43/D43*D42)-F42)/D42</f>
        <v>6.1960412747374865E-3</v>
      </c>
      <c r="J39" s="196"/>
      <c r="K39" s="196"/>
      <c r="L39" s="201"/>
      <c r="M39" s="201"/>
      <c r="N39" s="202"/>
    </row>
    <row r="40" spans="1:14" ht="26.25" customHeight="1" x14ac:dyDescent="0.4">
      <c r="A40" s="208" t="s">
        <v>62</v>
      </c>
      <c r="B40" s="209">
        <v>1</v>
      </c>
      <c r="C40" s="220">
        <v>3</v>
      </c>
      <c r="D40" s="221">
        <v>101169483</v>
      </c>
      <c r="E40" s="222">
        <f>IF(ISBLANK(D40),"-",$D$48/$D$45*D40)</f>
        <v>96390961.336113036</v>
      </c>
      <c r="F40" s="221">
        <v>97388496</v>
      </c>
      <c r="G40" s="223">
        <f>IF(ISBLANK(F40),"-",$D$48/$F$45*F40)</f>
        <v>95927165.541925669</v>
      </c>
      <c r="I40" s="520"/>
      <c r="L40" s="201"/>
      <c r="M40" s="201"/>
      <c r="N40" s="224"/>
    </row>
    <row r="41" spans="1:14" ht="27" customHeight="1" x14ac:dyDescent="0.4">
      <c r="A41" s="208" t="s">
        <v>63</v>
      </c>
      <c r="B41" s="209">
        <v>1</v>
      </c>
      <c r="C41" s="225">
        <v>4</v>
      </c>
      <c r="D41" s="226"/>
      <c r="E41" s="227" t="str">
        <f>IF(ISBLANK(D41),"-",$D$48/$D$45*D41)</f>
        <v>-</v>
      </c>
      <c r="F41" s="226"/>
      <c r="G41" s="228" t="str">
        <f>IF(ISBLANK(F41),"-",$D$48/$F$45*F41)</f>
        <v>-</v>
      </c>
      <c r="I41" s="229"/>
      <c r="L41" s="201"/>
      <c r="M41" s="201"/>
      <c r="N41" s="224"/>
    </row>
    <row r="42" spans="1:14" ht="27" customHeight="1" x14ac:dyDescent="0.4">
      <c r="A42" s="208" t="s">
        <v>64</v>
      </c>
      <c r="B42" s="209">
        <v>1</v>
      </c>
      <c r="C42" s="230" t="s">
        <v>65</v>
      </c>
      <c r="D42" s="231">
        <f>AVERAGE(D38:D41)</f>
        <v>101271266</v>
      </c>
      <c r="E42" s="232">
        <f>AVERAGE(E38:E41)</f>
        <v>96487936.83630091</v>
      </c>
      <c r="F42" s="231">
        <f>AVERAGE(F38:F41)</f>
        <v>97330329</v>
      </c>
      <c r="G42" s="233">
        <f>AVERAGE(G38:G41)</f>
        <v>95869871.347362101</v>
      </c>
      <c r="H42" s="234"/>
    </row>
    <row r="43" spans="1:14" ht="26.25" customHeight="1" x14ac:dyDescent="0.4">
      <c r="A43" s="208" t="s">
        <v>66</v>
      </c>
      <c r="B43" s="209">
        <v>1</v>
      </c>
      <c r="C43" s="235" t="s">
        <v>67</v>
      </c>
      <c r="D43" s="236">
        <v>16.809999999999999</v>
      </c>
      <c r="E43" s="224"/>
      <c r="F43" s="236">
        <v>16.260000000000002</v>
      </c>
      <c r="H43" s="234"/>
    </row>
    <row r="44" spans="1:14" ht="26.25" customHeight="1" x14ac:dyDescent="0.4">
      <c r="A44" s="208" t="s">
        <v>68</v>
      </c>
      <c r="B44" s="209">
        <v>1</v>
      </c>
      <c r="C44" s="237" t="s">
        <v>69</v>
      </c>
      <c r="D44" s="238">
        <f>D43*$B$34</f>
        <v>16.809999999999999</v>
      </c>
      <c r="E44" s="239"/>
      <c r="F44" s="238">
        <f>F43*$B$34</f>
        <v>16.260000000000002</v>
      </c>
      <c r="H44" s="234"/>
    </row>
    <row r="45" spans="1:14" ht="19.5" customHeight="1" x14ac:dyDescent="0.3">
      <c r="A45" s="208" t="s">
        <v>70</v>
      </c>
      <c r="B45" s="240">
        <f>(B44/B43)*(B42/B41)*(B40/B39)*(B38/B37)*B36</f>
        <v>100</v>
      </c>
      <c r="C45" s="237" t="s">
        <v>71</v>
      </c>
      <c r="D45" s="241">
        <f>D44*$B$30/100</f>
        <v>16.793189999999999</v>
      </c>
      <c r="E45" s="242"/>
      <c r="F45" s="241">
        <f>F44*$B$30/100</f>
        <v>16.243740000000003</v>
      </c>
      <c r="H45" s="234"/>
    </row>
    <row r="46" spans="1:14" ht="19.5" customHeight="1" x14ac:dyDescent="0.3">
      <c r="A46" s="521" t="s">
        <v>72</v>
      </c>
      <c r="B46" s="522"/>
      <c r="C46" s="237" t="s">
        <v>73</v>
      </c>
      <c r="D46" s="243">
        <f>D45/$B$45</f>
        <v>0.1679319</v>
      </c>
      <c r="E46" s="244"/>
      <c r="F46" s="245">
        <f>F45/$B$45</f>
        <v>0.16243740000000004</v>
      </c>
      <c r="H46" s="234"/>
    </row>
    <row r="47" spans="1:14" ht="27" customHeight="1" x14ac:dyDescent="0.4">
      <c r="A47" s="523"/>
      <c r="B47" s="524"/>
      <c r="C47" s="246" t="s">
        <v>74</v>
      </c>
      <c r="D47" s="247">
        <v>0.16</v>
      </c>
      <c r="E47" s="248"/>
      <c r="F47" s="244"/>
      <c r="H47" s="234"/>
    </row>
    <row r="48" spans="1:14" ht="18.75" x14ac:dyDescent="0.3">
      <c r="C48" s="249" t="s">
        <v>75</v>
      </c>
      <c r="D48" s="241">
        <f>D47*$B$45</f>
        <v>16</v>
      </c>
      <c r="F48" s="250"/>
      <c r="H48" s="234"/>
    </row>
    <row r="49" spans="1:12" ht="19.5" customHeight="1" x14ac:dyDescent="0.3">
      <c r="C49" s="251" t="s">
        <v>76</v>
      </c>
      <c r="D49" s="252">
        <f>D48/B34</f>
        <v>16</v>
      </c>
      <c r="F49" s="250"/>
      <c r="H49" s="234"/>
    </row>
    <row r="50" spans="1:12" ht="18.75" x14ac:dyDescent="0.3">
      <c r="C50" s="206" t="s">
        <v>77</v>
      </c>
      <c r="D50" s="253">
        <f>AVERAGE(E38:E41,G38:G41)</f>
        <v>96178904.091831505</v>
      </c>
      <c r="F50" s="254"/>
      <c r="H50" s="234"/>
    </row>
    <row r="51" spans="1:12" ht="18.75" x14ac:dyDescent="0.3">
      <c r="C51" s="208" t="s">
        <v>78</v>
      </c>
      <c r="D51" s="255">
        <f>STDEV(E38:E41,G38:G41)/D50</f>
        <v>3.6517075082130438E-3</v>
      </c>
      <c r="F51" s="254"/>
      <c r="H51" s="234"/>
    </row>
    <row r="52" spans="1:12" ht="19.5" customHeight="1" x14ac:dyDescent="0.3">
      <c r="C52" s="256" t="s">
        <v>17</v>
      </c>
      <c r="D52" s="257">
        <f>COUNT(E38:E41,G38:G41)</f>
        <v>6</v>
      </c>
      <c r="F52" s="254"/>
    </row>
    <row r="54" spans="1:12" ht="18.75" x14ac:dyDescent="0.3">
      <c r="A54" s="258" t="s">
        <v>1</v>
      </c>
      <c r="B54" s="259" t="s">
        <v>79</v>
      </c>
    </row>
    <row r="55" spans="1:12" ht="18.75" x14ac:dyDescent="0.3">
      <c r="A55" s="183" t="s">
        <v>80</v>
      </c>
      <c r="B55" s="260" t="str">
        <f>B21</f>
        <v xml:space="preserve">Each tablet contains: Sulphamethoxazole B.P. 800 mg and Trimethoprim B.P. 160 mg.
</v>
      </c>
    </row>
    <row r="56" spans="1:12" ht="26.25" customHeight="1" x14ac:dyDescent="0.4">
      <c r="A56" s="261" t="s">
        <v>81</v>
      </c>
      <c r="B56" s="262">
        <v>800</v>
      </c>
      <c r="C56" s="183" t="str">
        <f>B20</f>
        <v xml:space="preserve">Sulfamethoxazole BP </v>
      </c>
      <c r="H56" s="263"/>
    </row>
    <row r="57" spans="1:12" ht="18.75" x14ac:dyDescent="0.3">
      <c r="A57" s="260" t="s">
        <v>82</v>
      </c>
      <c r="B57" s="351">
        <f>Uniformity!C46</f>
        <v>1039.2490000000003</v>
      </c>
      <c r="H57" s="263"/>
    </row>
    <row r="58" spans="1:12" ht="19.5" customHeight="1" x14ac:dyDescent="0.3">
      <c r="H58" s="263"/>
    </row>
    <row r="59" spans="1:12" s="2" customFormat="1" ht="27" customHeight="1" x14ac:dyDescent="0.4">
      <c r="A59" s="206" t="s">
        <v>83</v>
      </c>
      <c r="B59" s="207">
        <v>100</v>
      </c>
      <c r="C59" s="183"/>
      <c r="D59" s="264" t="s">
        <v>84</v>
      </c>
      <c r="E59" s="265" t="s">
        <v>56</v>
      </c>
      <c r="F59" s="265" t="s">
        <v>57</v>
      </c>
      <c r="G59" s="265" t="s">
        <v>85</v>
      </c>
      <c r="H59" s="210" t="s">
        <v>86</v>
      </c>
      <c r="L59" s="196"/>
    </row>
    <row r="60" spans="1:12" s="2" customFormat="1" ht="26.25" customHeight="1" x14ac:dyDescent="0.4">
      <c r="A60" s="208" t="s">
        <v>87</v>
      </c>
      <c r="B60" s="209">
        <v>5</v>
      </c>
      <c r="C60" s="525" t="s">
        <v>88</v>
      </c>
      <c r="D60" s="528">
        <f>Trimethoprim!D60</f>
        <v>207.78</v>
      </c>
      <c r="E60" s="266">
        <v>1</v>
      </c>
      <c r="F60" s="267">
        <v>94891697</v>
      </c>
      <c r="G60" s="352">
        <f>IF(ISBLANK(F60),"-",(F60/$D$50*$D$47*$B$68)*($B$57/$D$60))</f>
        <v>789.55837624699859</v>
      </c>
      <c r="H60" s="268">
        <f t="shared" ref="H60:H71" si="0">IF(ISBLANK(F60),"-",G60/$B$56)</f>
        <v>0.98694797030874826</v>
      </c>
      <c r="L60" s="196"/>
    </row>
    <row r="61" spans="1:12" s="2" customFormat="1" ht="26.25" customHeight="1" x14ac:dyDescent="0.4">
      <c r="A61" s="208" t="s">
        <v>89</v>
      </c>
      <c r="B61" s="209">
        <v>50</v>
      </c>
      <c r="C61" s="526"/>
      <c r="D61" s="529"/>
      <c r="E61" s="269">
        <v>2</v>
      </c>
      <c r="F61" s="221">
        <v>94962465</v>
      </c>
      <c r="G61" s="353">
        <f>IF(ISBLANK(F61),"-",(F61/$D$50*$D$47*$B$68)*($B$57/$D$60))</f>
        <v>790.14721034878778</v>
      </c>
      <c r="H61" s="270">
        <f t="shared" si="0"/>
        <v>0.98768401293598473</v>
      </c>
      <c r="L61" s="196"/>
    </row>
    <row r="62" spans="1:12" s="2" customFormat="1" ht="26.25" customHeight="1" x14ac:dyDescent="0.4">
      <c r="A62" s="208" t="s">
        <v>90</v>
      </c>
      <c r="B62" s="209">
        <v>1</v>
      </c>
      <c r="C62" s="526"/>
      <c r="D62" s="529"/>
      <c r="E62" s="269">
        <v>3</v>
      </c>
      <c r="F62" s="271">
        <v>95243919</v>
      </c>
      <c r="G62" s="353">
        <f>IF(ISBLANK(F62),"-",(F62/$D$50*$D$47*$B$68)*($B$57/$D$60))</f>
        <v>792.4890839821386</v>
      </c>
      <c r="H62" s="270">
        <f t="shared" si="0"/>
        <v>0.99061135497767328</v>
      </c>
      <c r="L62" s="196"/>
    </row>
    <row r="63" spans="1:12" ht="27" customHeight="1" x14ac:dyDescent="0.4">
      <c r="A63" s="208" t="s">
        <v>91</v>
      </c>
      <c r="B63" s="209">
        <v>1</v>
      </c>
      <c r="C63" s="527"/>
      <c r="D63" s="530"/>
      <c r="E63" s="272">
        <v>4</v>
      </c>
      <c r="F63" s="273"/>
      <c r="G63" s="353" t="str">
        <f>IF(ISBLANK(F63),"-",(F63/$D$50*$D$47*$B$68)*($B$57/$D$60))</f>
        <v>-</v>
      </c>
      <c r="H63" s="270" t="str">
        <f t="shared" si="0"/>
        <v>-</v>
      </c>
    </row>
    <row r="64" spans="1:12" ht="26.25" customHeight="1" x14ac:dyDescent="0.4">
      <c r="A64" s="208" t="s">
        <v>92</v>
      </c>
      <c r="B64" s="209">
        <v>1</v>
      </c>
      <c r="C64" s="525" t="s">
        <v>93</v>
      </c>
      <c r="D64" s="528">
        <f>Trimethoprim!D64</f>
        <v>207.73</v>
      </c>
      <c r="E64" s="266">
        <v>1</v>
      </c>
      <c r="F64" s="267">
        <v>94860798</v>
      </c>
      <c r="G64" s="354">
        <f>IF(ISBLANK(F64),"-",(F64/$D$50*$D$47*$B$68)*($B$57/$D$64))</f>
        <v>789.49125970215118</v>
      </c>
      <c r="H64" s="274">
        <f t="shared" si="0"/>
        <v>0.98686407462768899</v>
      </c>
    </row>
    <row r="65" spans="1:8" ht="26.25" customHeight="1" x14ac:dyDescent="0.4">
      <c r="A65" s="208" t="s">
        <v>94</v>
      </c>
      <c r="B65" s="209">
        <v>1</v>
      </c>
      <c r="C65" s="526"/>
      <c r="D65" s="529"/>
      <c r="E65" s="269">
        <v>2</v>
      </c>
      <c r="F65" s="221">
        <v>95299698</v>
      </c>
      <c r="G65" s="355">
        <f>IF(ISBLANK(F65),"-",(F65/$D$50*$D$47*$B$68)*($B$57/$D$64))</f>
        <v>793.14406171508892</v>
      </c>
      <c r="H65" s="275">
        <f t="shared" si="0"/>
        <v>0.99143007714386111</v>
      </c>
    </row>
    <row r="66" spans="1:8" ht="26.25" customHeight="1" x14ac:dyDescent="0.4">
      <c r="A66" s="208" t="s">
        <v>95</v>
      </c>
      <c r="B66" s="209">
        <v>1</v>
      </c>
      <c r="C66" s="526"/>
      <c r="D66" s="529"/>
      <c r="E66" s="269">
        <v>3</v>
      </c>
      <c r="F66" s="221">
        <v>95117112</v>
      </c>
      <c r="G66" s="355">
        <f>IF(ISBLANK(F66),"-",(F66/$D$50*$D$47*$B$68)*($B$57/$D$64))</f>
        <v>791.62446611624136</v>
      </c>
      <c r="H66" s="275">
        <f t="shared" si="0"/>
        <v>0.98953058264530169</v>
      </c>
    </row>
    <row r="67" spans="1:8" ht="27" customHeight="1" x14ac:dyDescent="0.4">
      <c r="A67" s="208" t="s">
        <v>96</v>
      </c>
      <c r="B67" s="209">
        <v>1</v>
      </c>
      <c r="C67" s="527"/>
      <c r="D67" s="530"/>
      <c r="E67" s="272">
        <v>4</v>
      </c>
      <c r="F67" s="273"/>
      <c r="G67" s="356" t="str">
        <f>IF(ISBLANK(F67),"-",(F67/$D$50*$D$47*$B$68)*($B$57/$D$64))</f>
        <v>-</v>
      </c>
      <c r="H67" s="276" t="str">
        <f t="shared" si="0"/>
        <v>-</v>
      </c>
    </row>
    <row r="68" spans="1:8" ht="26.25" customHeight="1" x14ac:dyDescent="0.4">
      <c r="A68" s="208" t="s">
        <v>97</v>
      </c>
      <c r="B68" s="277">
        <f>(B67/B66)*(B65/B64)*(B63/B62)*(B61/B60)*B59</f>
        <v>1000</v>
      </c>
      <c r="C68" s="525" t="s">
        <v>98</v>
      </c>
      <c r="D68" s="528">
        <f>Trimethoprim!D68</f>
        <v>209.39</v>
      </c>
      <c r="E68" s="266">
        <v>1</v>
      </c>
      <c r="F68" s="267">
        <v>95321381</v>
      </c>
      <c r="G68" s="354">
        <f>IF(ISBLANK(F68),"-",(F68/$D$50*$D$47*$B$68)*($B$57/$D$68))</f>
        <v>787.03521088360287</v>
      </c>
      <c r="H68" s="270">
        <f t="shared" si="0"/>
        <v>0.98379401360450358</v>
      </c>
    </row>
    <row r="69" spans="1:8" ht="27" customHeight="1" x14ac:dyDescent="0.4">
      <c r="A69" s="256" t="s">
        <v>99</v>
      </c>
      <c r="B69" s="278">
        <f>(D47*B68)/B56*B57</f>
        <v>207.84980000000007</v>
      </c>
      <c r="C69" s="526"/>
      <c r="D69" s="529"/>
      <c r="E69" s="269">
        <v>2</v>
      </c>
      <c r="F69" s="221">
        <v>95719680</v>
      </c>
      <c r="G69" s="355">
        <f>IF(ISBLANK(F69),"-",(F69/$D$50*$D$47*$B$68)*($B$57/$D$68))</f>
        <v>790.32382603133919</v>
      </c>
      <c r="H69" s="270">
        <f t="shared" si="0"/>
        <v>0.98790478253917402</v>
      </c>
    </row>
    <row r="70" spans="1:8" ht="26.25" customHeight="1" x14ac:dyDescent="0.4">
      <c r="A70" s="538" t="s">
        <v>72</v>
      </c>
      <c r="B70" s="539"/>
      <c r="C70" s="526"/>
      <c r="D70" s="529"/>
      <c r="E70" s="269">
        <v>3</v>
      </c>
      <c r="F70" s="221">
        <v>95453477</v>
      </c>
      <c r="G70" s="355">
        <f>IF(ISBLANK(F70),"-",(F70/$D$50*$D$47*$B$68)*($B$57/$D$68))</f>
        <v>788.12588122562067</v>
      </c>
      <c r="H70" s="270">
        <f t="shared" si="0"/>
        <v>0.98515735153202588</v>
      </c>
    </row>
    <row r="71" spans="1:8" ht="27" customHeight="1" x14ac:dyDescent="0.4">
      <c r="A71" s="540"/>
      <c r="B71" s="541"/>
      <c r="C71" s="537"/>
      <c r="D71" s="530"/>
      <c r="E71" s="272">
        <v>4</v>
      </c>
      <c r="F71" s="273"/>
      <c r="G71" s="356" t="str">
        <f>IF(ISBLANK(F71),"-",(F71/$D$50*$D$47*$B$68)*($B$57/$D$68))</f>
        <v>-</v>
      </c>
      <c r="H71" s="279" t="str">
        <f t="shared" si="0"/>
        <v>-</v>
      </c>
    </row>
    <row r="72" spans="1:8" ht="26.25" customHeight="1" x14ac:dyDescent="0.4">
      <c r="A72" s="280"/>
      <c r="B72" s="280"/>
      <c r="C72" s="280"/>
      <c r="D72" s="280"/>
      <c r="E72" s="280"/>
      <c r="F72" s="282" t="s">
        <v>65</v>
      </c>
      <c r="G72" s="361">
        <f>AVERAGE(G60:G71)</f>
        <v>790.21548625021887</v>
      </c>
      <c r="H72" s="283">
        <f>AVERAGE(H60:H71)</f>
        <v>0.98776935781277375</v>
      </c>
    </row>
    <row r="73" spans="1:8" ht="26.25" customHeight="1" x14ac:dyDescent="0.4">
      <c r="C73" s="280"/>
      <c r="D73" s="280"/>
      <c r="E73" s="280"/>
      <c r="F73" s="284" t="s">
        <v>78</v>
      </c>
      <c r="G73" s="357">
        <f>STDEV(G60:G71)/G72</f>
        <v>2.4984900627610445E-3</v>
      </c>
      <c r="H73" s="357">
        <f>STDEV(H60:H71)/H72</f>
        <v>2.4984900627610346E-3</v>
      </c>
    </row>
    <row r="74" spans="1:8" ht="27" customHeight="1" x14ac:dyDescent="0.4">
      <c r="A74" s="280"/>
      <c r="B74" s="280"/>
      <c r="C74" s="281"/>
      <c r="D74" s="281"/>
      <c r="E74" s="285"/>
      <c r="F74" s="286" t="s">
        <v>17</v>
      </c>
      <c r="G74" s="287">
        <f>COUNT(G60:G71)</f>
        <v>9</v>
      </c>
      <c r="H74" s="287">
        <f>COUNT(H60:H71)</f>
        <v>9</v>
      </c>
    </row>
    <row r="76" spans="1:8" ht="26.25" customHeight="1" x14ac:dyDescent="0.4">
      <c r="A76" s="192" t="s">
        <v>100</v>
      </c>
      <c r="B76" s="288" t="s">
        <v>101</v>
      </c>
      <c r="C76" s="533" t="str">
        <f>B20</f>
        <v xml:space="preserve">Sulfamethoxazole BP </v>
      </c>
      <c r="D76" s="533"/>
      <c r="E76" s="289" t="s">
        <v>102</v>
      </c>
      <c r="F76" s="289"/>
      <c r="G76" s="290">
        <f>H72</f>
        <v>0.98776935781277375</v>
      </c>
      <c r="H76" s="291"/>
    </row>
    <row r="77" spans="1:8" ht="18.75" x14ac:dyDescent="0.3">
      <c r="A77" s="191" t="s">
        <v>103</v>
      </c>
      <c r="B77" s="191" t="s">
        <v>104</v>
      </c>
    </row>
    <row r="78" spans="1:8" ht="18.75" x14ac:dyDescent="0.3">
      <c r="A78" s="191"/>
      <c r="B78" s="191"/>
    </row>
    <row r="79" spans="1:8" ht="26.25" customHeight="1" x14ac:dyDescent="0.4">
      <c r="A79" s="192" t="s">
        <v>4</v>
      </c>
      <c r="B79" s="519" t="str">
        <f>B26</f>
        <v>Sulphamethoxazole</v>
      </c>
      <c r="C79" s="519"/>
    </row>
    <row r="80" spans="1:8" ht="26.25" customHeight="1" x14ac:dyDescent="0.4">
      <c r="A80" s="193" t="s">
        <v>42</v>
      </c>
      <c r="B80" s="519" t="str">
        <f>B27</f>
        <v>S12 5</v>
      </c>
      <c r="C80" s="519"/>
    </row>
    <row r="81" spans="1:12" ht="27" customHeight="1" x14ac:dyDescent="0.4">
      <c r="A81" s="193" t="s">
        <v>6</v>
      </c>
      <c r="B81" s="292">
        <f>B28</f>
        <v>99.9</v>
      </c>
    </row>
    <row r="82" spans="1:12" s="2" customFormat="1" ht="27" customHeight="1" x14ac:dyDescent="0.4">
      <c r="A82" s="193" t="s">
        <v>43</v>
      </c>
      <c r="B82" s="195">
        <v>0</v>
      </c>
      <c r="C82" s="510" t="s">
        <v>44</v>
      </c>
      <c r="D82" s="511"/>
      <c r="E82" s="511"/>
      <c r="F82" s="511"/>
      <c r="G82" s="512"/>
      <c r="I82" s="196"/>
      <c r="J82" s="196"/>
      <c r="K82" s="196"/>
      <c r="L82" s="196"/>
    </row>
    <row r="83" spans="1:12" s="2" customFormat="1" ht="19.5" customHeight="1" x14ac:dyDescent="0.3">
      <c r="A83" s="193" t="s">
        <v>45</v>
      </c>
      <c r="B83" s="197">
        <f>B81-B82</f>
        <v>99.9</v>
      </c>
      <c r="C83" s="198"/>
      <c r="D83" s="198"/>
      <c r="E83" s="198"/>
      <c r="F83" s="198"/>
      <c r="G83" s="199"/>
      <c r="I83" s="196"/>
      <c r="J83" s="196"/>
      <c r="K83" s="196"/>
      <c r="L83" s="196"/>
    </row>
    <row r="84" spans="1:12" s="2" customFormat="1" ht="27" customHeight="1" x14ac:dyDescent="0.4">
      <c r="A84" s="193" t="s">
        <v>46</v>
      </c>
      <c r="B84" s="200">
        <v>1</v>
      </c>
      <c r="C84" s="513" t="s">
        <v>105</v>
      </c>
      <c r="D84" s="514"/>
      <c r="E84" s="514"/>
      <c r="F84" s="514"/>
      <c r="G84" s="514"/>
      <c r="H84" s="515"/>
      <c r="I84" s="196"/>
      <c r="J84" s="196"/>
      <c r="K84" s="196"/>
      <c r="L84" s="196"/>
    </row>
    <row r="85" spans="1:12" s="2" customFormat="1" ht="27" customHeight="1" x14ac:dyDescent="0.4">
      <c r="A85" s="193" t="s">
        <v>48</v>
      </c>
      <c r="B85" s="200">
        <v>1</v>
      </c>
      <c r="C85" s="513" t="s">
        <v>106</v>
      </c>
      <c r="D85" s="514"/>
      <c r="E85" s="514"/>
      <c r="F85" s="514"/>
      <c r="G85" s="514"/>
      <c r="H85" s="515"/>
      <c r="I85" s="196"/>
      <c r="J85" s="196"/>
      <c r="K85" s="196"/>
      <c r="L85" s="196"/>
    </row>
    <row r="86" spans="1:12" s="2" customFormat="1" ht="18.75" x14ac:dyDescent="0.3">
      <c r="A86" s="193"/>
      <c r="B86" s="203"/>
      <c r="C86" s="204"/>
      <c r="D86" s="204"/>
      <c r="E86" s="204"/>
      <c r="F86" s="204"/>
      <c r="G86" s="204"/>
      <c r="H86" s="204"/>
      <c r="I86" s="196"/>
      <c r="J86" s="196"/>
      <c r="K86" s="196"/>
      <c r="L86" s="196"/>
    </row>
    <row r="87" spans="1:12" s="2" customFormat="1" ht="18.75" x14ac:dyDescent="0.3">
      <c r="A87" s="193" t="s">
        <v>50</v>
      </c>
      <c r="B87" s="205">
        <f>B84/B85</f>
        <v>1</v>
      </c>
      <c r="C87" s="183" t="s">
        <v>51</v>
      </c>
      <c r="D87" s="183"/>
      <c r="E87" s="183"/>
      <c r="F87" s="183"/>
      <c r="G87" s="183"/>
      <c r="I87" s="196"/>
      <c r="J87" s="196"/>
      <c r="K87" s="196"/>
      <c r="L87" s="196"/>
    </row>
    <row r="88" spans="1:12" ht="19.5" customHeight="1" x14ac:dyDescent="0.3">
      <c r="A88" s="191"/>
      <c r="B88" s="191"/>
    </row>
    <row r="89" spans="1:12" ht="27" customHeight="1" x14ac:dyDescent="0.4">
      <c r="A89" s="206" t="s">
        <v>52</v>
      </c>
      <c r="B89" s="207">
        <v>100</v>
      </c>
      <c r="D89" s="293" t="s">
        <v>53</v>
      </c>
      <c r="E89" s="294"/>
      <c r="F89" s="516" t="s">
        <v>54</v>
      </c>
      <c r="G89" s="518"/>
    </row>
    <row r="90" spans="1:12" ht="27" customHeight="1" x14ac:dyDescent="0.4">
      <c r="A90" s="208" t="s">
        <v>55</v>
      </c>
      <c r="B90" s="209">
        <v>1</v>
      </c>
      <c r="C90" s="295" t="s">
        <v>56</v>
      </c>
      <c r="D90" s="211" t="s">
        <v>57</v>
      </c>
      <c r="E90" s="212" t="s">
        <v>58</v>
      </c>
      <c r="F90" s="211" t="s">
        <v>57</v>
      </c>
      <c r="G90" s="296" t="s">
        <v>58</v>
      </c>
      <c r="I90" s="214" t="s">
        <v>59</v>
      </c>
    </row>
    <row r="91" spans="1:12" ht="26.25" customHeight="1" x14ac:dyDescent="0.4">
      <c r="A91" s="208" t="s">
        <v>60</v>
      </c>
      <c r="B91" s="209">
        <v>1</v>
      </c>
      <c r="C91" s="297">
        <v>1</v>
      </c>
      <c r="D91" s="216">
        <v>101237474</v>
      </c>
      <c r="E91" s="217">
        <f>IF(ISBLANK(D91),"-",$D$101/$D$98*D91)</f>
        <v>107173045.47590753</v>
      </c>
      <c r="F91" s="216">
        <v>97378930</v>
      </c>
      <c r="G91" s="218">
        <f>IF(ISBLANK(F91),"-",$D$101/$F$98*F91)</f>
        <v>106575270.09037189</v>
      </c>
      <c r="I91" s="219"/>
    </row>
    <row r="92" spans="1:12" ht="26.25" customHeight="1" x14ac:dyDescent="0.4">
      <c r="A92" s="208" t="s">
        <v>61</v>
      </c>
      <c r="B92" s="209">
        <v>1</v>
      </c>
      <c r="C92" s="281">
        <v>2</v>
      </c>
      <c r="D92" s="221">
        <v>101406841</v>
      </c>
      <c r="E92" s="222">
        <f>IF(ISBLANK(D92),"-",$D$101/$D$98*D92)</f>
        <v>107352342.4938588</v>
      </c>
      <c r="F92" s="221">
        <v>97223561</v>
      </c>
      <c r="G92" s="223">
        <f>IF(ISBLANK(F92),"-",$D$101/$F$98*F92)</f>
        <v>106405228.24313994</v>
      </c>
      <c r="I92" s="520">
        <f>ABS((F96/D96*D95)-F95)/D95</f>
        <v>6.1960412747374865E-3</v>
      </c>
    </row>
    <row r="93" spans="1:12" ht="26.25" customHeight="1" x14ac:dyDescent="0.4">
      <c r="A93" s="208" t="s">
        <v>62</v>
      </c>
      <c r="B93" s="209">
        <v>1</v>
      </c>
      <c r="C93" s="281">
        <v>3</v>
      </c>
      <c r="D93" s="221">
        <v>101169483</v>
      </c>
      <c r="E93" s="222">
        <f>IF(ISBLANK(D93),"-",$D$101/$D$98*D93)</f>
        <v>107101068.15123671</v>
      </c>
      <c r="F93" s="221">
        <v>97388496</v>
      </c>
      <c r="G93" s="223">
        <f>IF(ISBLANK(F93),"-",$D$101/$F$98*F93)</f>
        <v>106585739.49102852</v>
      </c>
      <c r="I93" s="520"/>
    </row>
    <row r="94" spans="1:12" ht="27" customHeight="1" x14ac:dyDescent="0.4">
      <c r="A94" s="208" t="s">
        <v>63</v>
      </c>
      <c r="B94" s="209">
        <v>1</v>
      </c>
      <c r="C94" s="298">
        <v>4</v>
      </c>
      <c r="D94" s="226"/>
      <c r="E94" s="227" t="str">
        <f>IF(ISBLANK(D94),"-",$D$101/$D$98*D94)</f>
        <v>-</v>
      </c>
      <c r="F94" s="226"/>
      <c r="G94" s="228" t="str">
        <f>IF(ISBLANK(F94),"-",$D$101/$F$98*F94)</f>
        <v>-</v>
      </c>
      <c r="I94" s="229"/>
    </row>
    <row r="95" spans="1:12" ht="27" customHeight="1" x14ac:dyDescent="0.4">
      <c r="A95" s="208" t="s">
        <v>64</v>
      </c>
      <c r="B95" s="209">
        <v>1</v>
      </c>
      <c r="C95" s="299" t="s">
        <v>65</v>
      </c>
      <c r="D95" s="300">
        <f>AVERAGE(D91:D94)</f>
        <v>101271266</v>
      </c>
      <c r="E95" s="232">
        <f>AVERAGE(E91:E94)</f>
        <v>107208818.70700102</v>
      </c>
      <c r="F95" s="301">
        <f>AVERAGE(F91:F94)</f>
        <v>97330329</v>
      </c>
      <c r="G95" s="302">
        <f>AVERAGE(G91:G94)</f>
        <v>106522079.27484679</v>
      </c>
    </row>
    <row r="96" spans="1:12" ht="26.25" customHeight="1" x14ac:dyDescent="0.4">
      <c r="A96" s="208" t="s">
        <v>66</v>
      </c>
      <c r="B96" s="194">
        <v>1</v>
      </c>
      <c r="C96" s="303" t="s">
        <v>107</v>
      </c>
      <c r="D96" s="304">
        <f>D43</f>
        <v>16.809999999999999</v>
      </c>
      <c r="E96" s="224"/>
      <c r="F96" s="236">
        <f>F43</f>
        <v>16.260000000000002</v>
      </c>
    </row>
    <row r="97" spans="1:10" ht="26.25" customHeight="1" x14ac:dyDescent="0.4">
      <c r="A97" s="208" t="s">
        <v>68</v>
      </c>
      <c r="B97" s="194">
        <v>1</v>
      </c>
      <c r="C97" s="305" t="s">
        <v>108</v>
      </c>
      <c r="D97" s="306">
        <f>D96*$B$87</f>
        <v>16.809999999999999</v>
      </c>
      <c r="E97" s="239"/>
      <c r="F97" s="238">
        <f>F96*$B$87</f>
        <v>16.260000000000002</v>
      </c>
    </row>
    <row r="98" spans="1:10" ht="19.5" customHeight="1" x14ac:dyDescent="0.3">
      <c r="A98" s="208" t="s">
        <v>70</v>
      </c>
      <c r="B98" s="307">
        <f>(B97/B96)*(B95/B94)*(B93/B92)*(B91/B90)*B89</f>
        <v>100</v>
      </c>
      <c r="C98" s="305" t="s">
        <v>109</v>
      </c>
      <c r="D98" s="308">
        <f>D97*$B$83/100</f>
        <v>16.793189999999999</v>
      </c>
      <c r="E98" s="242"/>
      <c r="F98" s="241">
        <f>F97*$B$83/100</f>
        <v>16.243740000000003</v>
      </c>
    </row>
    <row r="99" spans="1:10" ht="19.5" customHeight="1" x14ac:dyDescent="0.3">
      <c r="A99" s="521" t="s">
        <v>72</v>
      </c>
      <c r="B99" s="535"/>
      <c r="C99" s="305" t="s">
        <v>110</v>
      </c>
      <c r="D99" s="309">
        <f>D98/$B$98</f>
        <v>0.1679319</v>
      </c>
      <c r="E99" s="242"/>
      <c r="F99" s="245">
        <f>F98/$B$98</f>
        <v>0.16243740000000004</v>
      </c>
      <c r="G99" s="310"/>
      <c r="H99" s="234"/>
    </row>
    <row r="100" spans="1:10" ht="19.5" customHeight="1" x14ac:dyDescent="0.3">
      <c r="A100" s="523"/>
      <c r="B100" s="536"/>
      <c r="C100" s="305" t="s">
        <v>74</v>
      </c>
      <c r="D100" s="311">
        <f>$B$56/$B$116</f>
        <v>0.17777777777777778</v>
      </c>
      <c r="F100" s="250"/>
      <c r="G100" s="312"/>
      <c r="H100" s="234"/>
    </row>
    <row r="101" spans="1:10" ht="18.75" x14ac:dyDescent="0.3">
      <c r="C101" s="305" t="s">
        <v>75</v>
      </c>
      <c r="D101" s="306">
        <f>D100*$B$98</f>
        <v>17.777777777777779</v>
      </c>
      <c r="F101" s="250"/>
      <c r="G101" s="310"/>
      <c r="H101" s="234"/>
    </row>
    <row r="102" spans="1:10" ht="19.5" customHeight="1" x14ac:dyDescent="0.3">
      <c r="C102" s="313" t="s">
        <v>76</v>
      </c>
      <c r="D102" s="314">
        <f>D101/B34</f>
        <v>17.777777777777779</v>
      </c>
      <c r="F102" s="254"/>
      <c r="G102" s="310"/>
      <c r="H102" s="234"/>
      <c r="J102" s="315"/>
    </row>
    <row r="103" spans="1:10" ht="18.75" x14ac:dyDescent="0.3">
      <c r="C103" s="316" t="s">
        <v>111</v>
      </c>
      <c r="D103" s="317">
        <f>AVERAGE(E91:E94,G91:G94)</f>
        <v>106865448.9909239</v>
      </c>
      <c r="F103" s="254"/>
      <c r="G103" s="318"/>
      <c r="H103" s="234"/>
      <c r="J103" s="319"/>
    </row>
    <row r="104" spans="1:10" ht="18.75" x14ac:dyDescent="0.3">
      <c r="C104" s="284" t="s">
        <v>78</v>
      </c>
      <c r="D104" s="320">
        <f>STDEV(E91:E94,G91:G94)/D103</f>
        <v>3.651707508213043E-3</v>
      </c>
      <c r="F104" s="254"/>
      <c r="G104" s="310"/>
      <c r="H104" s="234"/>
      <c r="J104" s="319"/>
    </row>
    <row r="105" spans="1:10" ht="19.5" customHeight="1" x14ac:dyDescent="0.3">
      <c r="C105" s="286" t="s">
        <v>17</v>
      </c>
      <c r="D105" s="321">
        <f>COUNT(E91:E94,G91:G94)</f>
        <v>6</v>
      </c>
      <c r="F105" s="254"/>
      <c r="G105" s="310"/>
      <c r="H105" s="234"/>
      <c r="J105" s="319"/>
    </row>
    <row r="106" spans="1:10" ht="19.5" customHeight="1" x14ac:dyDescent="0.3">
      <c r="A106" s="258"/>
      <c r="B106" s="258"/>
      <c r="C106" s="258"/>
      <c r="D106" s="258"/>
      <c r="E106" s="258"/>
    </row>
    <row r="107" spans="1:10" ht="26.25" customHeight="1" x14ac:dyDescent="0.4">
      <c r="A107" s="206" t="s">
        <v>112</v>
      </c>
      <c r="B107" s="207">
        <v>900</v>
      </c>
      <c r="C107" s="322" t="s">
        <v>113</v>
      </c>
      <c r="D107" s="323" t="s">
        <v>57</v>
      </c>
      <c r="E107" s="324" t="s">
        <v>114</v>
      </c>
      <c r="F107" s="325" t="s">
        <v>115</v>
      </c>
    </row>
    <row r="108" spans="1:10" ht="26.25" customHeight="1" x14ac:dyDescent="0.4">
      <c r="A108" s="208" t="s">
        <v>116</v>
      </c>
      <c r="B108" s="209">
        <v>5</v>
      </c>
      <c r="C108" s="326">
        <v>1</v>
      </c>
      <c r="D108" s="327">
        <v>94313470</v>
      </c>
      <c r="E108" s="358">
        <f t="shared" ref="E108:E113" si="1">IF(ISBLANK(D108),"-",D108/$D$103*$D$100*$B$116)</f>
        <v>706.03526876500609</v>
      </c>
      <c r="F108" s="328">
        <f t="shared" ref="F108:F113" si="2">IF(ISBLANK(D108), "-", E108/$B$56)</f>
        <v>0.88254408595625766</v>
      </c>
    </row>
    <row r="109" spans="1:10" ht="26.25" customHeight="1" x14ac:dyDescent="0.4">
      <c r="A109" s="208" t="s">
        <v>89</v>
      </c>
      <c r="B109" s="209">
        <v>25</v>
      </c>
      <c r="C109" s="326">
        <v>2</v>
      </c>
      <c r="D109" s="327">
        <v>94886224</v>
      </c>
      <c r="E109" s="359">
        <f t="shared" si="1"/>
        <v>710.32293334066253</v>
      </c>
      <c r="F109" s="329">
        <f t="shared" si="2"/>
        <v>0.88790366667582821</v>
      </c>
    </row>
    <row r="110" spans="1:10" ht="26.25" customHeight="1" x14ac:dyDescent="0.4">
      <c r="A110" s="208" t="s">
        <v>90</v>
      </c>
      <c r="B110" s="209">
        <v>1</v>
      </c>
      <c r="C110" s="326">
        <v>3</v>
      </c>
      <c r="D110" s="327">
        <v>95914314</v>
      </c>
      <c r="E110" s="359">
        <f t="shared" si="1"/>
        <v>718.01926557681725</v>
      </c>
      <c r="F110" s="329">
        <f t="shared" si="2"/>
        <v>0.89752408197102151</v>
      </c>
    </row>
    <row r="111" spans="1:10" ht="26.25" customHeight="1" x14ac:dyDescent="0.4">
      <c r="A111" s="208" t="s">
        <v>91</v>
      </c>
      <c r="B111" s="209">
        <v>1</v>
      </c>
      <c r="C111" s="326">
        <v>4</v>
      </c>
      <c r="D111" s="327">
        <v>95189275</v>
      </c>
      <c r="E111" s="359">
        <f t="shared" si="1"/>
        <v>712.59158801145873</v>
      </c>
      <c r="F111" s="329">
        <f t="shared" si="2"/>
        <v>0.89073948501432343</v>
      </c>
    </row>
    <row r="112" spans="1:10" ht="26.25" customHeight="1" x14ac:dyDescent="0.4">
      <c r="A112" s="208" t="s">
        <v>92</v>
      </c>
      <c r="B112" s="209">
        <v>1</v>
      </c>
      <c r="C112" s="326">
        <v>5</v>
      </c>
      <c r="D112" s="327">
        <v>93382181</v>
      </c>
      <c r="E112" s="359">
        <f t="shared" si="1"/>
        <v>699.06359356937503</v>
      </c>
      <c r="F112" s="329">
        <f t="shared" si="2"/>
        <v>0.87382949196171877</v>
      </c>
    </row>
    <row r="113" spans="1:10" ht="26.25" customHeight="1" x14ac:dyDescent="0.4">
      <c r="A113" s="208" t="s">
        <v>94</v>
      </c>
      <c r="B113" s="209">
        <v>1</v>
      </c>
      <c r="C113" s="330">
        <v>6</v>
      </c>
      <c r="D113" s="331">
        <v>96122621</v>
      </c>
      <c r="E113" s="360">
        <f t="shared" si="1"/>
        <v>719.57866201012234</v>
      </c>
      <c r="F113" s="332">
        <f t="shared" si="2"/>
        <v>0.89947332751265296</v>
      </c>
    </row>
    <row r="114" spans="1:10" ht="26.25" customHeight="1" x14ac:dyDescent="0.4">
      <c r="A114" s="208" t="s">
        <v>95</v>
      </c>
      <c r="B114" s="209">
        <v>1</v>
      </c>
      <c r="C114" s="326"/>
      <c r="D114" s="281"/>
      <c r="E114" s="182"/>
      <c r="F114" s="333"/>
    </row>
    <row r="115" spans="1:10" ht="26.25" customHeight="1" x14ac:dyDescent="0.4">
      <c r="A115" s="208" t="s">
        <v>96</v>
      </c>
      <c r="B115" s="209">
        <v>1</v>
      </c>
      <c r="C115" s="326"/>
      <c r="D115" s="334" t="s">
        <v>65</v>
      </c>
      <c r="E115" s="362">
        <f>AVERAGE(E108:E113)</f>
        <v>710.93521854557366</v>
      </c>
      <c r="F115" s="335">
        <f>AVERAGE(F108:F113)</f>
        <v>0.88866902318196705</v>
      </c>
    </row>
    <row r="116" spans="1:10" ht="27" customHeight="1" x14ac:dyDescent="0.4">
      <c r="A116" s="208" t="s">
        <v>97</v>
      </c>
      <c r="B116" s="240">
        <f>(B115/B114)*(B113/B112)*(B111/B110)*(B109/B108)*B107</f>
        <v>4500</v>
      </c>
      <c r="C116" s="336"/>
      <c r="D116" s="299" t="s">
        <v>78</v>
      </c>
      <c r="E116" s="337">
        <f>STDEV(E108:E113)/E115</f>
        <v>1.0766793242181502E-2</v>
      </c>
      <c r="F116" s="337">
        <f>STDEV(F108:F113)/F115</f>
        <v>1.0766793242181502E-2</v>
      </c>
      <c r="I116" s="182"/>
    </row>
    <row r="117" spans="1:10" ht="27" customHeight="1" x14ac:dyDescent="0.4">
      <c r="A117" s="521" t="s">
        <v>72</v>
      </c>
      <c r="B117" s="522"/>
      <c r="C117" s="338"/>
      <c r="D117" s="339" t="s">
        <v>17</v>
      </c>
      <c r="E117" s="340">
        <f>COUNT(E108:E113)</f>
        <v>6</v>
      </c>
      <c r="F117" s="340">
        <f>COUNT(F108:F113)</f>
        <v>6</v>
      </c>
      <c r="I117" s="182"/>
      <c r="J117" s="319"/>
    </row>
    <row r="118" spans="1:10" ht="19.5" customHeight="1" x14ac:dyDescent="0.3">
      <c r="A118" s="523"/>
      <c r="B118" s="524"/>
      <c r="C118" s="182"/>
      <c r="D118" s="182"/>
      <c r="E118" s="182"/>
      <c r="F118" s="281"/>
      <c r="G118" s="182"/>
      <c r="H118" s="182"/>
      <c r="I118" s="182"/>
    </row>
    <row r="119" spans="1:10" ht="18.75" x14ac:dyDescent="0.3">
      <c r="A119" s="349"/>
      <c r="B119" s="204"/>
      <c r="C119" s="182"/>
      <c r="D119" s="182"/>
      <c r="E119" s="182"/>
      <c r="F119" s="281"/>
      <c r="G119" s="182"/>
      <c r="H119" s="182"/>
      <c r="I119" s="182"/>
    </row>
    <row r="120" spans="1:10" ht="26.25" customHeight="1" x14ac:dyDescent="0.4">
      <c r="A120" s="192" t="s">
        <v>100</v>
      </c>
      <c r="B120" s="288" t="s">
        <v>117</v>
      </c>
      <c r="C120" s="533" t="str">
        <f>B20</f>
        <v xml:space="preserve">Sulfamethoxazole BP </v>
      </c>
      <c r="D120" s="533"/>
      <c r="E120" s="289" t="s">
        <v>118</v>
      </c>
      <c r="F120" s="289"/>
      <c r="G120" s="290">
        <f>F115</f>
        <v>0.88866902318196705</v>
      </c>
      <c r="H120" s="182"/>
      <c r="I120" s="182"/>
    </row>
    <row r="121" spans="1:10" ht="19.5" customHeight="1" x14ac:dyDescent="0.3">
      <c r="A121" s="341"/>
      <c r="B121" s="341"/>
      <c r="C121" s="342"/>
      <c r="D121" s="342"/>
      <c r="E121" s="342"/>
      <c r="F121" s="342"/>
      <c r="G121" s="342"/>
      <c r="H121" s="342"/>
    </row>
    <row r="122" spans="1:10" ht="18.75" x14ac:dyDescent="0.3">
      <c r="B122" s="534" t="s">
        <v>20</v>
      </c>
      <c r="C122" s="534"/>
      <c r="E122" s="295" t="s">
        <v>21</v>
      </c>
      <c r="F122" s="343"/>
      <c r="G122" s="534" t="s">
        <v>22</v>
      </c>
      <c r="H122" s="534"/>
    </row>
    <row r="123" spans="1:10" ht="69.95" customHeight="1" x14ac:dyDescent="0.3">
      <c r="A123" s="344" t="s">
        <v>23</v>
      </c>
      <c r="B123" s="345"/>
      <c r="C123" s="345"/>
      <c r="E123" s="345"/>
      <c r="F123" s="182"/>
      <c r="G123" s="346"/>
      <c r="H123" s="346"/>
    </row>
    <row r="124" spans="1:10" ht="69.95" customHeight="1" x14ac:dyDescent="0.3">
      <c r="A124" s="344" t="s">
        <v>24</v>
      </c>
      <c r="B124" s="347"/>
      <c r="C124" s="347"/>
      <c r="E124" s="347"/>
      <c r="F124" s="182"/>
      <c r="G124" s="348"/>
      <c r="H124" s="348"/>
    </row>
    <row r="125" spans="1:10" ht="18.75" x14ac:dyDescent="0.3">
      <c r="A125" s="280"/>
      <c r="B125" s="280"/>
      <c r="C125" s="281"/>
      <c r="D125" s="281"/>
      <c r="E125" s="281"/>
      <c r="F125" s="285"/>
      <c r="G125" s="281"/>
      <c r="H125" s="281"/>
      <c r="I125" s="182"/>
    </row>
    <row r="126" spans="1:10" ht="18.75" x14ac:dyDescent="0.3">
      <c r="A126" s="280"/>
      <c r="B126" s="280"/>
      <c r="C126" s="281"/>
      <c r="D126" s="281"/>
      <c r="E126" s="281"/>
      <c r="F126" s="285"/>
      <c r="G126" s="281"/>
      <c r="H126" s="281"/>
      <c r="I126" s="182"/>
    </row>
    <row r="127" spans="1:10" ht="18.75" x14ac:dyDescent="0.3">
      <c r="A127" s="280"/>
      <c r="B127" s="280"/>
      <c r="C127" s="281"/>
      <c r="D127" s="281"/>
      <c r="E127" s="281"/>
      <c r="F127" s="285"/>
      <c r="G127" s="281"/>
      <c r="H127" s="281"/>
      <c r="I127" s="182"/>
    </row>
    <row r="128" spans="1:10" ht="18.75" x14ac:dyDescent="0.3">
      <c r="A128" s="280"/>
      <c r="B128" s="280"/>
      <c r="C128" s="281"/>
      <c r="D128" s="281"/>
      <c r="E128" s="281"/>
      <c r="F128" s="285"/>
      <c r="G128" s="281"/>
      <c r="H128" s="281"/>
      <c r="I128" s="182"/>
    </row>
    <row r="129" spans="1:9" ht="18.75" x14ac:dyDescent="0.3">
      <c r="A129" s="280"/>
      <c r="B129" s="280"/>
      <c r="C129" s="281"/>
      <c r="D129" s="281"/>
      <c r="E129" s="281"/>
      <c r="F129" s="285"/>
      <c r="G129" s="281"/>
      <c r="H129" s="281"/>
      <c r="I129" s="182"/>
    </row>
    <row r="130" spans="1:9" ht="18.75" x14ac:dyDescent="0.3">
      <c r="A130" s="280"/>
      <c r="B130" s="280"/>
      <c r="C130" s="281"/>
      <c r="D130" s="281"/>
      <c r="E130" s="281"/>
      <c r="F130" s="285"/>
      <c r="G130" s="281"/>
      <c r="H130" s="281"/>
      <c r="I130" s="182"/>
    </row>
    <row r="131" spans="1:9" ht="18.75" x14ac:dyDescent="0.3">
      <c r="A131" s="280"/>
      <c r="B131" s="280"/>
      <c r="C131" s="281"/>
      <c r="D131" s="281"/>
      <c r="E131" s="281"/>
      <c r="F131" s="285"/>
      <c r="G131" s="281"/>
      <c r="H131" s="281"/>
      <c r="I131" s="182"/>
    </row>
    <row r="132" spans="1:9" ht="18.75" x14ac:dyDescent="0.3">
      <c r="A132" s="280"/>
      <c r="B132" s="280"/>
      <c r="C132" s="281"/>
      <c r="D132" s="281"/>
      <c r="E132" s="281"/>
      <c r="F132" s="285"/>
      <c r="G132" s="281"/>
      <c r="H132" s="281"/>
      <c r="I132" s="182"/>
    </row>
    <row r="133" spans="1:9" ht="18.75" x14ac:dyDescent="0.3">
      <c r="A133" s="280"/>
      <c r="B133" s="280"/>
      <c r="C133" s="281"/>
      <c r="D133" s="281"/>
      <c r="E133" s="281"/>
      <c r="F133" s="285"/>
      <c r="G133" s="281"/>
      <c r="H133" s="281"/>
      <c r="I133" s="182"/>
    </row>
    <row r="250" spans="1:1" x14ac:dyDescent="0.25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Trimethoprim</vt:lpstr>
      <vt:lpstr>SST Sulfamethoxazole</vt:lpstr>
      <vt:lpstr>Uniformity</vt:lpstr>
      <vt:lpstr>Trimethoprim</vt:lpstr>
      <vt:lpstr>Sulphamethoxazole</vt:lpstr>
      <vt:lpstr>'SST Sulfamethoxazole'!Print_Area</vt:lpstr>
      <vt:lpstr>'SST Trimethoprim'!Print_Area</vt:lpstr>
      <vt:lpstr>Sulphamethoxazole!Print_Area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2016-07-12T11:32:25Z</cp:lastPrinted>
  <dcterms:created xsi:type="dcterms:W3CDTF">2005-07-05T10:19:27Z</dcterms:created>
  <dcterms:modified xsi:type="dcterms:W3CDTF">2016-07-13T05:12:57Z</dcterms:modified>
</cp:coreProperties>
</file>