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0" yWindow="0" windowWidth="15345" windowHeight="4635" activeTab="2"/>
  </bookViews>
  <sheets>
    <sheet name="SST" sheetId="1" r:id="rId1"/>
    <sheet name="Ceftriaxone" sheetId="5" r:id="rId2"/>
    <sheet name="Uniformity" sheetId="4" r:id="rId3"/>
  </sheets>
  <definedNames>
    <definedName name="_xlnm.Print_Area" localSheetId="1">Ceftriaxone!$A$1:$H$80</definedName>
    <definedName name="_xlnm.Print_Area" localSheetId="2">Uniformity!$A$1:$G$52</definedName>
  </definedNames>
  <calcPr calcId="152511"/>
</workbook>
</file>

<file path=xl/calcChain.xml><?xml version="1.0" encoding="utf-8"?>
<calcChain xmlns="http://schemas.openxmlformats.org/spreadsheetml/2006/main">
  <c r="B42" i="4" l="1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F45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5" l="1"/>
  <c r="D44" i="5"/>
  <c r="F46" i="5"/>
  <c r="G38" i="5"/>
  <c r="G40" i="5"/>
  <c r="G39" i="5"/>
  <c r="D45" i="5"/>
  <c r="D43" i="4"/>
  <c r="E23" i="4" s="1"/>
  <c r="D42" i="4"/>
  <c r="E27" i="4" l="1"/>
  <c r="E26" i="4"/>
  <c r="E37" i="4"/>
  <c r="D47" i="4"/>
  <c r="E38" i="4"/>
  <c r="E34" i="4"/>
  <c r="E24" i="4"/>
  <c r="E33" i="4"/>
  <c r="C48" i="4"/>
  <c r="E25" i="4"/>
  <c r="E32" i="4"/>
  <c r="E22" i="4"/>
  <c r="D48" i="4"/>
  <c r="E31" i="4"/>
  <c r="E40" i="4"/>
  <c r="E30" i="4"/>
  <c r="E39" i="4"/>
  <c r="B47" i="4"/>
  <c r="B57" i="5" s="1"/>
  <c r="E29" i="4"/>
  <c r="C47" i="4"/>
  <c r="G42" i="5"/>
  <c r="D46" i="5"/>
  <c r="E40" i="5"/>
  <c r="E38" i="5"/>
  <c r="E39" i="5"/>
  <c r="E36" i="4"/>
  <c r="E28" i="4"/>
  <c r="E35" i="4"/>
  <c r="E21" i="4"/>
  <c r="B69" i="5" l="1"/>
  <c r="D50" i="5"/>
  <c r="D52" i="5"/>
  <c r="E42" i="5"/>
  <c r="D51" i="5" l="1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5" l="1"/>
  <c r="G76" i="5" s="1"/>
  <c r="H74" i="5"/>
  <c r="H73" i="5" l="1"/>
</calcChain>
</file>

<file path=xl/sharedStrings.xml><?xml version="1.0" encoding="utf-8"?>
<sst xmlns="http://schemas.openxmlformats.org/spreadsheetml/2006/main" count="170" uniqueCount="119">
  <si>
    <t>HPLC System Suitability Report</t>
  </si>
  <si>
    <t>Analysis Data</t>
  </si>
  <si>
    <t>Assay</t>
  </si>
  <si>
    <t>Sample(s)</t>
  </si>
  <si>
    <t>Reference Substance:</t>
  </si>
  <si>
    <t xml:space="preserve">TRIAXONE 2G </t>
  </si>
  <si>
    <t>% age Purity:</t>
  </si>
  <si>
    <t>NDQD2016061175</t>
  </si>
  <si>
    <t>Weight (mg):</t>
  </si>
  <si>
    <t>Ceftriaxone 2G (As Ceftriaxone Sodium)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</si>
  <si>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</si>
  <si>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</si>
  <si>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</si>
  <si>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</si>
  <si>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</si>
  <si>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</si>
  <si>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</si>
  <si>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</si>
  <si>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</si>
  <si>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</si>
  <si>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</si>
  <si>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</si>
  <si>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</si>
  <si>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</si>
  <si>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</si>
  <si>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</si>
  <si>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</si>
  <si>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</si>
  <si>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</si>
  <si>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</si>
  <si>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</si>
  <si>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</si>
  <si>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</si>
  <si>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</si>
  <si>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</si>
  <si>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</si>
  <si>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</si>
  <si>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</si>
  <si>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</si>
  <si>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</si>
  <si>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</si>
  <si>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</si>
  <si>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</si>
  <si>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</si>
  <si>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</si>
  <si>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</si>
  <si>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</si>
  <si>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</si>
  <si>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</si>
  <si>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</si>
  <si>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</si>
  <si>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</si>
  <si>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</si>
  <si>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</si>
  <si>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</si>
  <si>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</si>
  <si>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</si>
  <si>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</si>
  <si>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</si>
  <si>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</si>
  <si>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</si>
  <si>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</si>
  <si>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</si>
  <si>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</si>
  <si>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</si>
  <si>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</si>
  <si>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</si>
  <si>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</si>
  <si>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</si>
  <si>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</si>
  <si>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</si>
  <si>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</si>
  <si>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</si>
  <si>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</si>
  <si>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</si>
  <si>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</si>
  <si>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</si>
  <si>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</si>
  <si>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</si>
  <si>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</si>
  <si>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</si>
  <si>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</si>
  <si>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</si>
  <si>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</si>
  <si>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</si>
  <si>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</si>
  <si>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</si>
  <si>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</si>
  <si>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</si>
  <si>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</si>
  <si>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</si>
  <si>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</si>
  <si>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</si>
  <si>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</si>
  <si>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</si>
  <si>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</si>
  <si>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</si>
  <si>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</si>
  <si>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</si>
  <si>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</si>
  <si>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</si>
  <si>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</si>
  <si>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</si>
  <si>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</si>
  <si>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</si>
  <si>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</si>
  <si>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</si>
  <si>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</si>
  <si>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</si>
  <si>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</si>
  <si>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</si>
  <si>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</si>
  <si>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</si>
  <si>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</si>
  <si>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</si>
  <si>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Ceftriaxone 1G (As Ceftriaxone Sodium)</t>
  </si>
  <si>
    <t>Each vial contains Ceftriaxone 1g</t>
  </si>
  <si>
    <t>NDQB2016061174</t>
  </si>
  <si>
    <t>TRIXONE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</si>
</sst>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G20" sqref="G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2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14229278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14161859.5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9.5850443161429148E-3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26</v>
      </c>
      <c r="C59" s="23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43" zoomScale="60" zoomScaleNormal="78" workbookViewId="0">
      <selection activeCell="C29" sqref="C29:H2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53" t="s">
        <v>49</v>
      </c>
      <c r="B1" s="253"/>
      <c r="C1" s="253"/>
      <c r="D1" s="253"/>
      <c r="E1" s="253"/>
      <c r="F1" s="253"/>
      <c r="G1" s="253"/>
      <c r="H1" s="253"/>
    </row>
    <row r="2" spans="1:8" x14ac:dyDescent="0.2">
      <c r="A2" s="253"/>
      <c r="B2" s="253"/>
      <c r="C2" s="253"/>
      <c r="D2" s="253"/>
      <c r="E2" s="253"/>
      <c r="F2" s="253"/>
      <c r="G2" s="253"/>
      <c r="H2" s="253"/>
    </row>
    <row r="3" spans="1:8" x14ac:dyDescent="0.2">
      <c r="A3" s="253"/>
      <c r="B3" s="253"/>
      <c r="C3" s="253"/>
      <c r="D3" s="253"/>
      <c r="E3" s="253"/>
      <c r="F3" s="253"/>
      <c r="G3" s="253"/>
      <c r="H3" s="253"/>
    </row>
    <row r="4" spans="1:8" x14ac:dyDescent="0.2">
      <c r="A4" s="253"/>
      <c r="B4" s="253"/>
      <c r="C4" s="253"/>
      <c r="D4" s="253"/>
      <c r="E4" s="253"/>
      <c r="F4" s="253"/>
      <c r="G4" s="253"/>
      <c r="H4" s="253"/>
    </row>
    <row r="5" spans="1:8" x14ac:dyDescent="0.2">
      <c r="A5" s="253"/>
      <c r="B5" s="253"/>
      <c r="C5" s="253"/>
      <c r="D5" s="253"/>
      <c r="E5" s="253"/>
      <c r="F5" s="253"/>
      <c r="G5" s="253"/>
      <c r="H5" s="253"/>
    </row>
    <row r="6" spans="1:8" x14ac:dyDescent="0.2">
      <c r="A6" s="253"/>
      <c r="B6" s="253"/>
      <c r="C6" s="253"/>
      <c r="D6" s="253"/>
      <c r="E6" s="253"/>
      <c r="F6" s="253"/>
      <c r="G6" s="253"/>
      <c r="H6" s="253"/>
    </row>
    <row r="7" spans="1:8" x14ac:dyDescent="0.2">
      <c r="A7" s="253"/>
      <c r="B7" s="253"/>
      <c r="C7" s="253"/>
      <c r="D7" s="253"/>
      <c r="E7" s="253"/>
      <c r="F7" s="253"/>
      <c r="G7" s="253"/>
      <c r="H7" s="253"/>
    </row>
    <row r="8" spans="1:8" x14ac:dyDescent="0.2">
      <c r="A8" s="254" t="s">
        <v>50</v>
      </c>
      <c r="B8" s="254"/>
      <c r="C8" s="254"/>
      <c r="D8" s="254"/>
      <c r="E8" s="254"/>
      <c r="F8" s="254"/>
      <c r="G8" s="254"/>
      <c r="H8" s="254"/>
    </row>
    <row r="9" spans="1:8" x14ac:dyDescent="0.2">
      <c r="A9" s="254"/>
      <c r="B9" s="254"/>
      <c r="C9" s="254"/>
      <c r="D9" s="254"/>
      <c r="E9" s="254"/>
      <c r="F9" s="254"/>
      <c r="G9" s="254"/>
      <c r="H9" s="254"/>
    </row>
    <row r="10" spans="1:8" x14ac:dyDescent="0.2">
      <c r="A10" s="254"/>
      <c r="B10" s="254"/>
      <c r="C10" s="254"/>
      <c r="D10" s="254"/>
      <c r="E10" s="254"/>
      <c r="F10" s="254"/>
      <c r="G10" s="254"/>
      <c r="H10" s="254"/>
    </row>
    <row r="11" spans="1:8" x14ac:dyDescent="0.2">
      <c r="A11" s="254"/>
      <c r="B11" s="254"/>
      <c r="C11" s="254"/>
      <c r="D11" s="254"/>
      <c r="E11" s="254"/>
      <c r="F11" s="254"/>
      <c r="G11" s="254"/>
      <c r="H11" s="254"/>
    </row>
    <row r="12" spans="1:8" x14ac:dyDescent="0.2">
      <c r="A12" s="254"/>
      <c r="B12" s="254"/>
      <c r="C12" s="254"/>
      <c r="D12" s="254"/>
      <c r="E12" s="254"/>
      <c r="F12" s="254"/>
      <c r="G12" s="254"/>
      <c r="H12" s="254"/>
    </row>
    <row r="13" spans="1:8" x14ac:dyDescent="0.2">
      <c r="A13" s="254"/>
      <c r="B13" s="254"/>
      <c r="C13" s="254"/>
      <c r="D13" s="254"/>
      <c r="E13" s="254"/>
      <c r="F13" s="254"/>
      <c r="G13" s="254"/>
      <c r="H13" s="254"/>
    </row>
    <row r="14" spans="1:8" x14ac:dyDescent="0.2">
      <c r="A14" s="254"/>
      <c r="B14" s="254"/>
      <c r="C14" s="254"/>
      <c r="D14" s="254"/>
      <c r="E14" s="254"/>
      <c r="F14" s="254"/>
      <c r="G14" s="254"/>
      <c r="H14" s="254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55" t="s">
        <v>31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16" t="s">
        <v>51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33</v>
      </c>
      <c r="B18" s="258" t="s">
        <v>118</v>
      </c>
      <c r="C18" s="259"/>
      <c r="D18" s="259"/>
      <c r="E18" s="259"/>
      <c r="F18" s="115"/>
      <c r="G18" s="115"/>
      <c r="H18" s="115"/>
    </row>
    <row r="19" spans="1:8" ht="26.25" customHeight="1" x14ac:dyDescent="0.4">
      <c r="A19" s="117" t="s">
        <v>34</v>
      </c>
      <c r="B19" s="237" t="s">
        <v>117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35</v>
      </c>
      <c r="B20" s="237" t="s">
        <v>115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36</v>
      </c>
      <c r="B21" s="260" t="s">
        <v>116</v>
      </c>
      <c r="C21" s="261"/>
      <c r="D21" s="261"/>
      <c r="E21" s="261"/>
      <c r="F21" s="261"/>
      <c r="G21" s="261"/>
      <c r="H21" s="261"/>
    </row>
    <row r="22" spans="1:8" ht="26.25" customHeight="1" x14ac:dyDescent="0.4">
      <c r="A22" s="117" t="s">
        <v>37</v>
      </c>
      <c r="B22" s="118" t="s">
        <v>12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38</v>
      </c>
      <c r="B23" s="118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19"/>
      <c r="C24" s="115"/>
      <c r="D24" s="115"/>
      <c r="E24" s="115"/>
      <c r="F24" s="115"/>
      <c r="G24" s="115"/>
      <c r="H24" s="115"/>
    </row>
    <row r="25" spans="1:8" ht="18.75" customHeight="1" x14ac:dyDescent="0.3">
      <c r="A25" s="120" t="s">
        <v>1</v>
      </c>
      <c r="B25" s="119"/>
      <c r="C25" s="115"/>
      <c r="D25" s="115"/>
      <c r="E25" s="115"/>
      <c r="F25" s="115"/>
      <c r="G25" s="115"/>
      <c r="H25" s="115"/>
    </row>
    <row r="26" spans="1:8" ht="26.25" customHeight="1" x14ac:dyDescent="0.4">
      <c r="A26" s="121" t="s">
        <v>4</v>
      </c>
      <c r="B26" s="258" t="s">
        <v>113</v>
      </c>
      <c r="C26" s="259"/>
      <c r="D26" s="115"/>
      <c r="E26" s="115"/>
      <c r="F26" s="115"/>
      <c r="G26" s="115"/>
      <c r="H26" s="115"/>
    </row>
    <row r="27" spans="1:8" ht="26.25" customHeight="1" x14ac:dyDescent="0.4">
      <c r="A27" s="122" t="s">
        <v>52</v>
      </c>
      <c r="B27" s="260" t="s">
        <v>114</v>
      </c>
      <c r="C27" s="261"/>
      <c r="D27" s="115"/>
      <c r="E27" s="115"/>
      <c r="F27" s="115"/>
      <c r="G27" s="115"/>
      <c r="H27" s="115"/>
    </row>
    <row r="28" spans="1:8" ht="27" customHeight="1" x14ac:dyDescent="0.4">
      <c r="A28" s="122" t="s">
        <v>6</v>
      </c>
      <c r="B28" s="123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2" t="s">
        <v>53</v>
      </c>
      <c r="B29" s="124">
        <v>0</v>
      </c>
      <c r="C29" s="262" t="s">
        <v>54</v>
      </c>
      <c r="D29" s="263"/>
      <c r="E29" s="263"/>
      <c r="F29" s="263"/>
      <c r="G29" s="263"/>
      <c r="H29" s="264"/>
    </row>
    <row r="30" spans="1:8" ht="19.5" customHeight="1" x14ac:dyDescent="0.3">
      <c r="A30" s="122" t="s">
        <v>55</v>
      </c>
      <c r="B30" s="125">
        <f>B28-B29</f>
        <v>83.292000000000002</v>
      </c>
      <c r="C30" s="126"/>
      <c r="D30" s="126"/>
      <c r="E30" s="126"/>
      <c r="F30" s="126"/>
      <c r="G30" s="126"/>
      <c r="H30" s="127"/>
    </row>
    <row r="31" spans="1:8" ht="27" customHeight="1" x14ac:dyDescent="0.4">
      <c r="A31" s="122" t="s">
        <v>56</v>
      </c>
      <c r="B31" s="128">
        <v>554.58000000000004</v>
      </c>
      <c r="C31" s="265" t="s">
        <v>57</v>
      </c>
      <c r="D31" s="266"/>
      <c r="E31" s="266"/>
      <c r="F31" s="266"/>
      <c r="G31" s="266"/>
      <c r="H31" s="267"/>
    </row>
    <row r="32" spans="1:8" ht="27" customHeight="1" x14ac:dyDescent="0.4">
      <c r="A32" s="122" t="s">
        <v>58</v>
      </c>
      <c r="B32" s="128">
        <v>576.55999999999995</v>
      </c>
      <c r="C32" s="265" t="s">
        <v>59</v>
      </c>
      <c r="D32" s="266"/>
      <c r="E32" s="266"/>
      <c r="F32" s="266"/>
      <c r="G32" s="266"/>
      <c r="H32" s="267"/>
    </row>
    <row r="33" spans="1:8" ht="18.75" customHeight="1" x14ac:dyDescent="0.3">
      <c r="A33" s="122"/>
      <c r="B33" s="129"/>
      <c r="C33" s="130"/>
      <c r="D33" s="130"/>
      <c r="E33" s="130"/>
      <c r="F33" s="130"/>
      <c r="G33" s="130"/>
      <c r="H33" s="130"/>
    </row>
    <row r="34" spans="1:8" ht="18.75" customHeight="1" x14ac:dyDescent="0.3">
      <c r="A34" s="122" t="s">
        <v>60</v>
      </c>
      <c r="B34" s="131">
        <f>B31/B32</f>
        <v>0.96187734147356752</v>
      </c>
      <c r="C34" s="115" t="s">
        <v>61</v>
      </c>
      <c r="D34" s="115"/>
      <c r="E34" s="115"/>
      <c r="F34" s="115"/>
      <c r="G34" s="115"/>
      <c r="H34" s="132"/>
    </row>
    <row r="35" spans="1:8" ht="19.5" customHeight="1" x14ac:dyDescent="0.3">
      <c r="A35" s="122"/>
      <c r="B35" s="125"/>
      <c r="C35" s="132"/>
      <c r="D35" s="132"/>
      <c r="E35" s="132"/>
      <c r="F35" s="132"/>
      <c r="G35" s="115"/>
      <c r="H35" s="132"/>
    </row>
    <row r="36" spans="1:8" ht="27" customHeight="1" x14ac:dyDescent="0.4">
      <c r="A36" s="133" t="s">
        <v>62</v>
      </c>
      <c r="B36" s="134">
        <v>20</v>
      </c>
      <c r="C36" s="115"/>
      <c r="D36" s="268" t="s">
        <v>63</v>
      </c>
      <c r="E36" s="269"/>
      <c r="F36" s="268" t="s">
        <v>64</v>
      </c>
      <c r="G36" s="270"/>
      <c r="H36" s="132"/>
    </row>
    <row r="37" spans="1:8" ht="26.25" customHeight="1" x14ac:dyDescent="0.4">
      <c r="A37" s="135" t="s">
        <v>65</v>
      </c>
      <c r="B37" s="136">
        <v>4</v>
      </c>
      <c r="C37" s="137" t="s">
        <v>66</v>
      </c>
      <c r="D37" s="138" t="s">
        <v>67</v>
      </c>
      <c r="E37" s="139" t="s">
        <v>68</v>
      </c>
      <c r="F37" s="138" t="s">
        <v>67</v>
      </c>
      <c r="G37" s="140" t="s">
        <v>68</v>
      </c>
      <c r="H37" s="132"/>
    </row>
    <row r="38" spans="1:8" ht="26.25" customHeight="1" x14ac:dyDescent="0.4">
      <c r="A38" s="135" t="s">
        <v>69</v>
      </c>
      <c r="B38" s="136">
        <v>25</v>
      </c>
      <c r="C38" s="141">
        <v>1</v>
      </c>
      <c r="D38" s="142">
        <v>14066115</v>
      </c>
      <c r="E38" s="143">
        <f>IF(ISBLANK(D38),"-",$D$48/$D$45*D38)</f>
        <v>16353423.213984502</v>
      </c>
      <c r="F38" s="142">
        <v>14741140</v>
      </c>
      <c r="G38" s="144">
        <f>IF(ISBLANK(F38),"-",$D$48/$F$45*F38)</f>
        <v>16739071.570896089</v>
      </c>
      <c r="H38" s="132"/>
    </row>
    <row r="39" spans="1:8" ht="26.25" customHeight="1" x14ac:dyDescent="0.4">
      <c r="A39" s="135" t="s">
        <v>70</v>
      </c>
      <c r="B39" s="136">
        <v>1</v>
      </c>
      <c r="C39" s="145">
        <v>2</v>
      </c>
      <c r="D39" s="146">
        <v>14185057</v>
      </c>
      <c r="E39" s="147">
        <f>IF(ISBLANK(D39),"-",$D$48/$D$45*D39)</f>
        <v>16491706.518501617</v>
      </c>
      <c r="F39" s="146">
        <v>14868800</v>
      </c>
      <c r="G39" s="148">
        <f>IF(ISBLANK(F39),"-",$D$48/$F$45*F39)</f>
        <v>16884033.892449278</v>
      </c>
      <c r="H39" s="132"/>
    </row>
    <row r="40" spans="1:8" ht="26.25" customHeight="1" x14ac:dyDescent="0.4">
      <c r="A40" s="135" t="s">
        <v>71</v>
      </c>
      <c r="B40" s="136">
        <v>1</v>
      </c>
      <c r="C40" s="145">
        <v>3</v>
      </c>
      <c r="D40" s="146">
        <v>14266619</v>
      </c>
      <c r="E40" s="147">
        <f>IF(ISBLANK(D40),"-",$D$48/$D$45*D40)</f>
        <v>16586531.415367525</v>
      </c>
      <c r="F40" s="146">
        <v>14741310</v>
      </c>
      <c r="G40" s="148">
        <f>IF(ISBLANK(F40),"-",$D$48/$F$45*F40)</f>
        <v>16739264.611744154</v>
      </c>
      <c r="H40" s="115"/>
    </row>
    <row r="41" spans="1:8" ht="26.25" customHeight="1" x14ac:dyDescent="0.4">
      <c r="A41" s="135" t="s">
        <v>72</v>
      </c>
      <c r="B41" s="136">
        <v>1</v>
      </c>
      <c r="C41" s="149">
        <v>4</v>
      </c>
      <c r="D41" s="150"/>
      <c r="E41" s="151" t="str">
        <f>IF(ISBLANK(D41),"-",$D$48/$D$45*D41)</f>
        <v>-</v>
      </c>
      <c r="F41" s="150"/>
      <c r="G41" s="152" t="str">
        <f>IF(ISBLANK(F41),"-",$D$48/$F$45*F41)</f>
        <v>-</v>
      </c>
      <c r="H41" s="115"/>
    </row>
    <row r="42" spans="1:8" ht="27" customHeight="1" x14ac:dyDescent="0.4">
      <c r="A42" s="135" t="s">
        <v>73</v>
      </c>
      <c r="B42" s="136">
        <v>1</v>
      </c>
      <c r="C42" s="153" t="s">
        <v>74</v>
      </c>
      <c r="D42" s="154">
        <f>AVERAGE(D38:D41)</f>
        <v>14172597</v>
      </c>
      <c r="E42" s="155">
        <f>AVERAGE(E38:E41)</f>
        <v>16477220.382617882</v>
      </c>
      <c r="F42" s="154">
        <f>AVERAGE(F38:F41)</f>
        <v>14783750</v>
      </c>
      <c r="G42" s="156">
        <f>AVERAGE(G38:G41)</f>
        <v>16787456.691696506</v>
      </c>
      <c r="H42" s="157"/>
    </row>
    <row r="43" spans="1:8" ht="26.25" customHeight="1" x14ac:dyDescent="0.4">
      <c r="A43" s="135" t="s">
        <v>75</v>
      </c>
      <c r="B43" s="136">
        <v>1</v>
      </c>
      <c r="C43" s="158" t="s">
        <v>76</v>
      </c>
      <c r="D43" s="159">
        <v>26.84</v>
      </c>
      <c r="E43" s="160"/>
      <c r="F43" s="159">
        <v>27.48</v>
      </c>
      <c r="G43" s="115"/>
      <c r="H43" s="157"/>
    </row>
    <row r="44" spans="1:8" ht="26.25" customHeight="1" x14ac:dyDescent="0.4">
      <c r="A44" s="135" t="s">
        <v>77</v>
      </c>
      <c r="B44" s="136">
        <v>1</v>
      </c>
      <c r="C44" s="161" t="s">
        <v>78</v>
      </c>
      <c r="D44" s="162">
        <f>D43*$B$34</f>
        <v>25.816787845150554</v>
      </c>
      <c r="E44" s="163"/>
      <c r="F44" s="162">
        <f>F43*$B$34</f>
        <v>26.432389343693636</v>
      </c>
      <c r="G44" s="115"/>
      <c r="H44" s="157"/>
    </row>
    <row r="45" spans="1:8" ht="19.5" customHeight="1" x14ac:dyDescent="0.3">
      <c r="A45" s="135" t="s">
        <v>79</v>
      </c>
      <c r="B45" s="164">
        <f>(B44/B43)*(B42/B41)*(B40/B39)*(B38/B37)*B36</f>
        <v>125</v>
      </c>
      <c r="C45" s="161" t="s">
        <v>80</v>
      </c>
      <c r="D45" s="165">
        <f>D44*$B$30/100</f>
        <v>21.5033189319828</v>
      </c>
      <c r="E45" s="166"/>
      <c r="F45" s="165">
        <f>F44*$B$30/100</f>
        <v>22.016065732149304</v>
      </c>
      <c r="G45" s="115"/>
      <c r="H45" s="157"/>
    </row>
    <row r="46" spans="1:8" ht="19.5" customHeight="1" x14ac:dyDescent="0.3">
      <c r="A46" s="248" t="s">
        <v>81</v>
      </c>
      <c r="B46" s="249"/>
      <c r="C46" s="161" t="s">
        <v>82</v>
      </c>
      <c r="D46" s="162">
        <f>D45/$B$45</f>
        <v>0.1720265514558624</v>
      </c>
      <c r="E46" s="166"/>
      <c r="F46" s="167">
        <f>F45/$B$45</f>
        <v>0.17612852585719443</v>
      </c>
      <c r="G46" s="115"/>
      <c r="H46" s="157"/>
    </row>
    <row r="47" spans="1:8" ht="27" customHeight="1" x14ac:dyDescent="0.4">
      <c r="A47" s="250"/>
      <c r="B47" s="251"/>
      <c r="C47" s="168" t="s">
        <v>83</v>
      </c>
      <c r="D47" s="169">
        <v>0.2</v>
      </c>
      <c r="E47" s="115"/>
      <c r="F47" s="170"/>
      <c r="G47" s="115"/>
      <c r="H47" s="157"/>
    </row>
    <row r="48" spans="1:8" ht="18.75" customHeight="1" x14ac:dyDescent="0.3">
      <c r="A48" s="115"/>
      <c r="B48" s="115"/>
      <c r="C48" s="171" t="s">
        <v>84</v>
      </c>
      <c r="D48" s="162">
        <f>D47*$B$45</f>
        <v>25</v>
      </c>
      <c r="E48" s="115"/>
      <c r="F48" s="170"/>
      <c r="G48" s="115"/>
      <c r="H48" s="157"/>
    </row>
    <row r="49" spans="1:8" ht="19.5" customHeight="1" x14ac:dyDescent="0.3">
      <c r="A49" s="115"/>
      <c r="B49" s="115"/>
      <c r="C49" s="172" t="s">
        <v>85</v>
      </c>
      <c r="D49" s="173">
        <f>D48/B34</f>
        <v>25.990839914890543</v>
      </c>
      <c r="E49" s="115"/>
      <c r="F49" s="170"/>
      <c r="G49" s="115"/>
      <c r="H49" s="157"/>
    </row>
    <row r="50" spans="1:8" ht="18.75" customHeight="1" x14ac:dyDescent="0.3">
      <c r="A50" s="115"/>
      <c r="B50" s="115"/>
      <c r="C50" s="133" t="s">
        <v>86</v>
      </c>
      <c r="D50" s="174">
        <f>AVERAGE(E38:E41,G38:G41)</f>
        <v>16632338.537157193</v>
      </c>
      <c r="E50" s="115"/>
      <c r="F50" s="175"/>
      <c r="G50" s="115"/>
      <c r="H50" s="157"/>
    </row>
    <row r="51" spans="1:8" ht="18.75" customHeight="1" x14ac:dyDescent="0.3">
      <c r="A51" s="115"/>
      <c r="B51" s="115"/>
      <c r="C51" s="168" t="s">
        <v>87</v>
      </c>
      <c r="D51" s="176">
        <f>STDEV(E38:E41,G38:G41)/D50</f>
        <v>1.1591435695936382E-2</v>
      </c>
      <c r="E51" s="115"/>
      <c r="F51" s="175"/>
      <c r="G51" s="115"/>
      <c r="H51" s="157"/>
    </row>
    <row r="52" spans="1:8" ht="19.5" customHeight="1" x14ac:dyDescent="0.3">
      <c r="A52" s="115"/>
      <c r="B52" s="115"/>
      <c r="C52" s="177" t="s">
        <v>20</v>
      </c>
      <c r="D52" s="178">
        <f>COUNT(E38:E41,G38:G41)</f>
        <v>6</v>
      </c>
      <c r="E52" s="115"/>
      <c r="F52" s="175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79" t="s">
        <v>88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89</v>
      </c>
      <c r="B55" s="180" t="str">
        <f>B21</f>
        <v>Each vial contains Ceftriaxone 1g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1" t="s">
        <v>90</v>
      </c>
      <c r="B56" s="182">
        <v>1000</v>
      </c>
      <c r="C56" s="115" t="str">
        <f>B20</f>
        <v>Ceftriaxone 1G (As Ceftriaxone Sodium)</v>
      </c>
      <c r="D56" s="115"/>
      <c r="E56" s="115"/>
      <c r="F56" s="115"/>
      <c r="G56" s="115"/>
      <c r="H56" s="183"/>
    </row>
    <row r="57" spans="1:8" ht="18.75" customHeight="1" x14ac:dyDescent="0.3">
      <c r="A57" s="180" t="s">
        <v>91</v>
      </c>
      <c r="B57" s="231">
        <f>Uniformity!B47</f>
        <v>1159.0174999999997</v>
      </c>
      <c r="C57" s="115"/>
      <c r="D57" s="115"/>
      <c r="E57" s="115"/>
      <c r="F57" s="115"/>
      <c r="G57" s="115"/>
      <c r="H57" s="183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3"/>
    </row>
    <row r="59" spans="1:8" ht="27" customHeight="1" x14ac:dyDescent="0.4">
      <c r="A59" s="133" t="s">
        <v>92</v>
      </c>
      <c r="B59" s="134">
        <v>50</v>
      </c>
      <c r="C59" s="115"/>
      <c r="D59" s="184" t="s">
        <v>93</v>
      </c>
      <c r="E59" s="185" t="s">
        <v>66</v>
      </c>
      <c r="F59" s="185" t="s">
        <v>67</v>
      </c>
      <c r="G59" s="185" t="s">
        <v>94</v>
      </c>
      <c r="H59" s="137" t="s">
        <v>95</v>
      </c>
    </row>
    <row r="60" spans="1:8" ht="26.25" customHeight="1" x14ac:dyDescent="0.4">
      <c r="A60" s="135" t="s">
        <v>96</v>
      </c>
      <c r="B60" s="136">
        <v>5</v>
      </c>
      <c r="C60" s="241" t="s">
        <v>97</v>
      </c>
      <c r="D60" s="244">
        <v>114.21</v>
      </c>
      <c r="E60" s="186">
        <v>1</v>
      </c>
      <c r="F60" s="187"/>
      <c r="G60" s="188" t="str">
        <f>IF(ISBLANK(F60),"-",(F60/$D$50*$D$47*$B$68)*($B$57/$D$60))</f>
        <v>-</v>
      </c>
      <c r="H60" s="189" t="str">
        <f t="shared" ref="H60:H71" si="0">IF(ISBLANK(F60),"-",G60/$B$56)</f>
        <v>-</v>
      </c>
    </row>
    <row r="61" spans="1:8" ht="26.25" customHeight="1" x14ac:dyDescent="0.4">
      <c r="A61" s="135" t="s">
        <v>98</v>
      </c>
      <c r="B61" s="136">
        <v>50</v>
      </c>
      <c r="C61" s="242"/>
      <c r="D61" s="245"/>
      <c r="E61" s="190">
        <v>2</v>
      </c>
      <c r="F61" s="146">
        <v>16509373</v>
      </c>
      <c r="G61" s="191">
        <f>IF(ISBLANK(F61),"-",(F61/$D$50*$D$47*$B$68)*($B$57/$D$60))</f>
        <v>1007.3099539237913</v>
      </c>
      <c r="H61" s="192">
        <f t="shared" si="0"/>
        <v>1.0073099539237913</v>
      </c>
    </row>
    <row r="62" spans="1:8" ht="26.25" customHeight="1" x14ac:dyDescent="0.4">
      <c r="A62" s="135" t="s">
        <v>99</v>
      </c>
      <c r="B62" s="136">
        <v>1</v>
      </c>
      <c r="C62" s="242"/>
      <c r="D62" s="245"/>
      <c r="E62" s="190">
        <v>3</v>
      </c>
      <c r="F62" s="146">
        <v>16903448</v>
      </c>
      <c r="G62" s="191">
        <f>IF(ISBLANK(F62),"-",(F62/$D$50*$D$47*$B$68)*($B$57/$D$60))</f>
        <v>1031.3542147259743</v>
      </c>
      <c r="H62" s="192">
        <f t="shared" si="0"/>
        <v>1.0313542147259742</v>
      </c>
    </row>
    <row r="63" spans="1:8" ht="27" customHeight="1" x14ac:dyDescent="0.4">
      <c r="A63" s="135" t="s">
        <v>100</v>
      </c>
      <c r="B63" s="136">
        <v>1</v>
      </c>
      <c r="C63" s="243"/>
      <c r="D63" s="246"/>
      <c r="E63" s="193">
        <v>4</v>
      </c>
      <c r="F63" s="194"/>
      <c r="G63" s="191" t="str">
        <f>IF(ISBLANK(F63),"-",(F63/$D$50*$D$47*$B$68)*($B$57/$D$60))</f>
        <v>-</v>
      </c>
      <c r="H63" s="192" t="str">
        <f t="shared" si="0"/>
        <v>-</v>
      </c>
    </row>
    <row r="64" spans="1:8" ht="26.25" customHeight="1" x14ac:dyDescent="0.4">
      <c r="A64" s="135" t="s">
        <v>101</v>
      </c>
      <c r="B64" s="136">
        <v>1</v>
      </c>
      <c r="C64" s="241" t="s">
        <v>102</v>
      </c>
      <c r="D64" s="244">
        <v>115.21</v>
      </c>
      <c r="E64" s="186">
        <v>1</v>
      </c>
      <c r="F64" s="187">
        <v>17422159</v>
      </c>
      <c r="G64" s="195">
        <f>IF(ISBLANK(F64),"-",(F64/$D$50*$D$47*$B$68)*($B$57/$D$64))</f>
        <v>1053.7764135260861</v>
      </c>
      <c r="H64" s="196">
        <f t="shared" si="0"/>
        <v>1.0537764135260861</v>
      </c>
    </row>
    <row r="65" spans="1:8" ht="26.25" customHeight="1" x14ac:dyDescent="0.4">
      <c r="A65" s="135" t="s">
        <v>103</v>
      </c>
      <c r="B65" s="136">
        <v>1</v>
      </c>
      <c r="C65" s="242"/>
      <c r="D65" s="245"/>
      <c r="E65" s="190">
        <v>2</v>
      </c>
      <c r="F65" s="146"/>
      <c r="G65" s="197" t="str">
        <f>IF(ISBLANK(F65),"-",(F65/$D$50*$D$47*$B$68)*($B$57/$D$64))</f>
        <v>-</v>
      </c>
      <c r="H65" s="198" t="str">
        <f t="shared" si="0"/>
        <v>-</v>
      </c>
    </row>
    <row r="66" spans="1:8" ht="26.25" customHeight="1" x14ac:dyDescent="0.4">
      <c r="A66" s="135" t="s">
        <v>104</v>
      </c>
      <c r="B66" s="136">
        <v>1</v>
      </c>
      <c r="C66" s="242"/>
      <c r="D66" s="245"/>
      <c r="E66" s="190">
        <v>3</v>
      </c>
      <c r="F66" s="146">
        <v>17601820</v>
      </c>
      <c r="G66" s="197">
        <f>IF(ISBLANK(F66),"-",(F66/$D$50*$D$47*$B$68)*($B$57/$D$64))</f>
        <v>1064.6431794780276</v>
      </c>
      <c r="H66" s="198">
        <f t="shared" si="0"/>
        <v>1.0646431794780276</v>
      </c>
    </row>
    <row r="67" spans="1:8" ht="27" customHeight="1" x14ac:dyDescent="0.4">
      <c r="A67" s="135" t="s">
        <v>105</v>
      </c>
      <c r="B67" s="136">
        <v>1</v>
      </c>
      <c r="C67" s="243"/>
      <c r="D67" s="246"/>
      <c r="E67" s="193">
        <v>4</v>
      </c>
      <c r="F67" s="194"/>
      <c r="G67" s="199" t="str">
        <f>IF(ISBLANK(F67),"-",(F67/$D$50*$D$47*$B$68)*($B$57/$D$64))</f>
        <v>-</v>
      </c>
      <c r="H67" s="200" t="str">
        <f t="shared" si="0"/>
        <v>-</v>
      </c>
    </row>
    <row r="68" spans="1:8" ht="26.25" customHeight="1" x14ac:dyDescent="0.4">
      <c r="A68" s="135" t="s">
        <v>106</v>
      </c>
      <c r="B68" s="201">
        <f>(B67/B66)*(B65/B64)*(B63/B62)*(B61/B60)*B59</f>
        <v>500</v>
      </c>
      <c r="C68" s="241" t="s">
        <v>107</v>
      </c>
      <c r="D68" s="244">
        <v>113.83</v>
      </c>
      <c r="E68" s="186">
        <v>1</v>
      </c>
      <c r="F68" s="187">
        <v>17211587</v>
      </c>
      <c r="G68" s="195">
        <f>IF(ISBLANK(F68),"-",(F68/$D$50*$D$47*$B$68)*($B$57/$D$68))</f>
        <v>1053.6608846217691</v>
      </c>
      <c r="H68" s="192">
        <f t="shared" si="0"/>
        <v>1.0536608846217692</v>
      </c>
    </row>
    <row r="69" spans="1:8" ht="27" customHeight="1" x14ac:dyDescent="0.4">
      <c r="A69" s="177" t="s">
        <v>108</v>
      </c>
      <c r="B69" s="202">
        <f>(D47*B68)/B56*B57</f>
        <v>115.90174999999998</v>
      </c>
      <c r="C69" s="242"/>
      <c r="D69" s="245"/>
      <c r="E69" s="190">
        <v>2</v>
      </c>
      <c r="F69" s="146">
        <v>17139931</v>
      </c>
      <c r="G69" s="197">
        <f>IF(ISBLANK(F69),"-",(F69/$D$50*$D$47*$B$68)*($B$57/$D$68))</f>
        <v>1049.2742394885543</v>
      </c>
      <c r="H69" s="192">
        <f t="shared" si="0"/>
        <v>1.0492742394885544</v>
      </c>
    </row>
    <row r="70" spans="1:8" ht="26.25" customHeight="1" x14ac:dyDescent="0.4">
      <c r="A70" s="248" t="s">
        <v>81</v>
      </c>
      <c r="B70" s="249"/>
      <c r="C70" s="242"/>
      <c r="D70" s="245"/>
      <c r="E70" s="190">
        <v>3</v>
      </c>
      <c r="F70" s="146">
        <v>16782702</v>
      </c>
      <c r="G70" s="197">
        <f>IF(ISBLANK(F70),"-",(F70/$D$50*$D$47*$B$68)*($B$57/$D$68))</f>
        <v>1027.4053540596537</v>
      </c>
      <c r="H70" s="192">
        <f t="shared" si="0"/>
        <v>1.0274053540596537</v>
      </c>
    </row>
    <row r="71" spans="1:8" ht="27" customHeight="1" x14ac:dyDescent="0.4">
      <c r="A71" s="250"/>
      <c r="B71" s="251"/>
      <c r="C71" s="247"/>
      <c r="D71" s="246"/>
      <c r="E71" s="193">
        <v>4</v>
      </c>
      <c r="F71" s="194"/>
      <c r="G71" s="199" t="str">
        <f>IF(ISBLANK(F71),"-",(F71/$D$50*$D$47*$B$68)*($B$57/$D$68))</f>
        <v>-</v>
      </c>
      <c r="H71" s="203" t="str">
        <f t="shared" si="0"/>
        <v>-</v>
      </c>
    </row>
    <row r="72" spans="1:8" ht="26.25" customHeight="1" x14ac:dyDescent="0.4">
      <c r="A72" s="204"/>
      <c r="B72" s="204"/>
      <c r="C72" s="204"/>
      <c r="D72" s="204"/>
      <c r="E72" s="204"/>
      <c r="F72" s="205"/>
      <c r="G72" s="206" t="s">
        <v>74</v>
      </c>
      <c r="H72" s="207">
        <f>AVERAGE(H60:H71)</f>
        <v>1.0410606056891223</v>
      </c>
    </row>
    <row r="73" spans="1:8" ht="26.25" customHeight="1" x14ac:dyDescent="0.4">
      <c r="A73" s="115"/>
      <c r="B73" s="115"/>
      <c r="C73" s="204"/>
      <c r="D73" s="204"/>
      <c r="E73" s="204"/>
      <c r="F73" s="205"/>
      <c r="G73" s="208" t="s">
        <v>87</v>
      </c>
      <c r="H73" s="209">
        <f>STDEV(H60:H71)/H72</f>
        <v>1.9065931293017549E-2</v>
      </c>
    </row>
    <row r="74" spans="1:8" ht="27" customHeight="1" x14ac:dyDescent="0.4">
      <c r="A74" s="204"/>
      <c r="B74" s="204"/>
      <c r="C74" s="205"/>
      <c r="D74" s="205"/>
      <c r="E74" s="210"/>
      <c r="F74" s="205"/>
      <c r="G74" s="211" t="s">
        <v>20</v>
      </c>
      <c r="H74" s="212">
        <f>COUNT(H60:H71)</f>
        <v>7</v>
      </c>
    </row>
    <row r="75" spans="1:8" ht="18.75" customHeight="1" x14ac:dyDescent="0.3">
      <c r="A75" s="213"/>
      <c r="B75" s="213"/>
      <c r="C75" s="163"/>
      <c r="D75" s="163"/>
      <c r="E75" s="166"/>
      <c r="F75" s="163"/>
      <c r="G75" s="214"/>
      <c r="H75" s="215"/>
    </row>
    <row r="76" spans="1:8" ht="26.25" customHeight="1" x14ac:dyDescent="0.4">
      <c r="A76" s="121" t="s">
        <v>109</v>
      </c>
      <c r="B76" s="216" t="s">
        <v>110</v>
      </c>
      <c r="C76" s="252" t="str">
        <f>B20</f>
        <v>Ceftriaxone 1G (As Ceftriaxone Sodium)</v>
      </c>
      <c r="D76" s="252"/>
      <c r="E76" s="217" t="s">
        <v>111</v>
      </c>
      <c r="F76" s="217"/>
      <c r="G76" s="218">
        <f>H72</f>
        <v>1.0410606056891223</v>
      </c>
      <c r="H76" s="215"/>
    </row>
    <row r="77" spans="1:8" ht="19.5" customHeight="1" x14ac:dyDescent="0.3">
      <c r="A77" s="219"/>
      <c r="B77" s="219"/>
      <c r="C77" s="220"/>
      <c r="D77" s="220"/>
      <c r="E77" s="220"/>
      <c r="F77" s="220"/>
      <c r="G77" s="220"/>
      <c r="H77" s="220"/>
    </row>
    <row r="78" spans="1:8" ht="18.75" customHeight="1" x14ac:dyDescent="0.3">
      <c r="A78" s="115"/>
      <c r="B78" s="240" t="s">
        <v>26</v>
      </c>
      <c r="C78" s="240"/>
      <c r="D78" s="115"/>
      <c r="E78" s="221" t="s">
        <v>27</v>
      </c>
      <c r="F78" s="222"/>
      <c r="G78" s="240" t="s">
        <v>28</v>
      </c>
      <c r="H78" s="240"/>
    </row>
    <row r="79" spans="1:8" ht="60" customHeight="1" x14ac:dyDescent="0.3">
      <c r="A79" s="223" t="s">
        <v>29</v>
      </c>
      <c r="B79" s="224"/>
      <c r="C79" s="224"/>
      <c r="D79" s="115"/>
      <c r="E79" s="225"/>
      <c r="F79" s="226"/>
      <c r="G79" s="227"/>
      <c r="H79" s="227"/>
    </row>
    <row r="80" spans="1:8" ht="60" customHeight="1" x14ac:dyDescent="0.3">
      <c r="A80" s="223" t="s">
        <v>30</v>
      </c>
      <c r="B80" s="228"/>
      <c r="C80" s="228"/>
      <c r="D80" s="115"/>
      <c r="E80" s="229"/>
      <c r="F80" s="226"/>
      <c r="G80" s="230"/>
      <c r="H80" s="230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21" priority="1" operator="greaterThan">
      <formula>0.02</formula>
    </cfRule>
  </conditionalFormatting>
  <conditionalFormatting sqref="H73">
    <cfRule type="cellIs" dxfId="2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view="pageBreakPreview" topLeftCell="A16" zoomScaleNormal="70" zoomScaleSheetLayoutView="100" workbookViewId="0">
      <selection activeCell="B21" sqref="B21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76" t="s">
        <v>31</v>
      </c>
      <c r="B8" s="276"/>
      <c r="C8" s="276"/>
      <c r="D8" s="276"/>
      <c r="E8" s="276"/>
      <c r="F8" s="276"/>
      <c r="G8" s="276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77" t="s">
        <v>32</v>
      </c>
      <c r="B10" s="277"/>
      <c r="C10" s="277"/>
      <c r="D10" s="277"/>
      <c r="E10" s="277"/>
      <c r="F10" s="277"/>
      <c r="G10" s="27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71" t="s">
        <v>33</v>
      </c>
      <c r="B11" s="271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71" t="s">
        <v>34</v>
      </c>
      <c r="B12" s="271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71" t="s">
        <v>35</v>
      </c>
      <c r="B13" s="271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71" t="s">
        <v>36</v>
      </c>
      <c r="B14" s="271"/>
      <c r="C14" s="275" t="s">
        <v>11</v>
      </c>
      <c r="D14" s="275"/>
      <c r="E14" s="275"/>
      <c r="F14" s="275"/>
      <c r="G14" s="275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71" t="s">
        <v>37</v>
      </c>
      <c r="B15" s="271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71" t="s">
        <v>38</v>
      </c>
      <c r="B16" s="271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72" t="s">
        <v>1</v>
      </c>
      <c r="B18" s="272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6">
        <v>23414.639999999999</v>
      </c>
      <c r="C21" s="82">
        <v>22259.45</v>
      </c>
      <c r="D21" s="83">
        <f t="shared" ref="D21:D40" si="0">B21-C21</f>
        <v>1155.1899999999987</v>
      </c>
      <c r="E21" s="84">
        <f t="shared" ref="E21:E40" si="1">(D21-$D$43)/$D$43</f>
        <v>-3.3023660125934343E-3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3">
        <v>23334.21</v>
      </c>
      <c r="C22" s="86">
        <v>22169.01</v>
      </c>
      <c r="D22" s="87">
        <f t="shared" si="0"/>
        <v>1165.2000000000007</v>
      </c>
      <c r="E22" s="84">
        <f t="shared" si="1"/>
        <v>5.3342594050573263E-3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3">
        <v>22828.97</v>
      </c>
      <c r="C23" s="86">
        <v>21653.93</v>
      </c>
      <c r="D23" s="87">
        <f t="shared" si="0"/>
        <v>1175.0400000000009</v>
      </c>
      <c r="E23" s="84">
        <f t="shared" si="1"/>
        <v>1.3824208866562564E-2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3">
        <v>23775.02</v>
      </c>
      <c r="C24" s="86">
        <v>22610.33</v>
      </c>
      <c r="D24" s="87">
        <f t="shared" si="0"/>
        <v>1164.6899999999987</v>
      </c>
      <c r="E24" s="84">
        <f t="shared" si="1"/>
        <v>4.8942315366239005E-3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3">
        <v>22869.33</v>
      </c>
      <c r="C25" s="86">
        <v>21724.89</v>
      </c>
      <c r="D25" s="87">
        <f t="shared" si="0"/>
        <v>1144.4400000000023</v>
      </c>
      <c r="E25" s="84">
        <f t="shared" si="1"/>
        <v>-1.2577463239336227E-2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3">
        <v>24146.58</v>
      </c>
      <c r="C26" s="86">
        <v>23068.67</v>
      </c>
      <c r="D26" s="87">
        <f t="shared" si="0"/>
        <v>1077.9100000000035</v>
      </c>
      <c r="E26" s="84">
        <f t="shared" si="1"/>
        <v>-6.997953007611725E-2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3">
        <v>23751.1</v>
      </c>
      <c r="C27" s="86">
        <v>22595.18</v>
      </c>
      <c r="D27" s="87">
        <f t="shared" si="0"/>
        <v>1155.9199999999983</v>
      </c>
      <c r="E27" s="84">
        <f t="shared" si="1"/>
        <v>-2.6725222009171103E-3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3">
        <v>22787</v>
      </c>
      <c r="C28" s="86">
        <v>21609.23</v>
      </c>
      <c r="D28" s="87">
        <f t="shared" si="0"/>
        <v>1177.7700000000004</v>
      </c>
      <c r="E28" s="84">
        <f t="shared" si="1"/>
        <v>1.6179652162284643E-2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3">
        <v>22566.26</v>
      </c>
      <c r="C29" s="86">
        <v>21415.23</v>
      </c>
      <c r="D29" s="87">
        <f t="shared" si="0"/>
        <v>1151.0299999999988</v>
      </c>
      <c r="E29" s="84">
        <f t="shared" si="1"/>
        <v>-6.8916129394084782E-3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4">
        <v>22846.51</v>
      </c>
      <c r="C30" s="86">
        <v>21676.21</v>
      </c>
      <c r="D30" s="87">
        <f t="shared" si="0"/>
        <v>1170.2999999999993</v>
      </c>
      <c r="E30" s="84">
        <f t="shared" si="1"/>
        <v>9.7345380893727445E-3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4">
        <v>23144.19</v>
      </c>
      <c r="C31" s="86">
        <v>21971.99</v>
      </c>
      <c r="D31" s="87">
        <f t="shared" si="0"/>
        <v>1172.1999999999971</v>
      </c>
      <c r="E31" s="84">
        <f t="shared" si="1"/>
        <v>1.1373857599214329E-2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4">
        <v>22731.23</v>
      </c>
      <c r="C32" s="86">
        <v>21576.78</v>
      </c>
      <c r="D32" s="87">
        <f t="shared" si="0"/>
        <v>1154.4500000000007</v>
      </c>
      <c r="E32" s="84">
        <f t="shared" si="1"/>
        <v>-3.940837821688606E-3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4">
        <v>22660.1</v>
      </c>
      <c r="C33" s="86">
        <v>21497.61</v>
      </c>
      <c r="D33" s="87">
        <f t="shared" si="0"/>
        <v>1162.489999999998</v>
      </c>
      <c r="E33" s="84">
        <f t="shared" si="1"/>
        <v>2.9960721041729426E-3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4">
        <v>24090.36</v>
      </c>
      <c r="C34" s="86">
        <v>22922.99</v>
      </c>
      <c r="D34" s="87">
        <f t="shared" si="0"/>
        <v>1167.369999999999</v>
      </c>
      <c r="E34" s="84">
        <f t="shared" si="1"/>
        <v>7.2065348452454636E-3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4">
        <v>22635.89</v>
      </c>
      <c r="C35" s="86">
        <v>21489.97</v>
      </c>
      <c r="D35" s="87">
        <f t="shared" si="0"/>
        <v>1145.9199999999983</v>
      </c>
      <c r="E35" s="84">
        <f t="shared" si="1"/>
        <v>-1.1300519621145883E-2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4">
        <v>22583.66</v>
      </c>
      <c r="C36" s="86">
        <v>21420.720000000001</v>
      </c>
      <c r="D36" s="87">
        <f t="shared" si="0"/>
        <v>1162.9399999999987</v>
      </c>
      <c r="E36" s="84">
        <f t="shared" si="1"/>
        <v>3.3843319880838656E-3</v>
      </c>
      <c r="G36" s="66"/>
      <c r="H36" s="66"/>
    </row>
    <row r="37" spans="1:15" ht="15" x14ac:dyDescent="0.3">
      <c r="A37" s="85">
        <v>17</v>
      </c>
      <c r="B37" s="234">
        <v>22862.52</v>
      </c>
      <c r="C37" s="86">
        <v>21707.5</v>
      </c>
      <c r="D37" s="87">
        <f t="shared" si="0"/>
        <v>1155.0200000000004</v>
      </c>
      <c r="E37" s="84">
        <f t="shared" si="1"/>
        <v>-3.4490419687358167E-3</v>
      </c>
    </row>
    <row r="38" spans="1:15" ht="15" x14ac:dyDescent="0.3">
      <c r="A38" s="85">
        <v>18</v>
      </c>
      <c r="B38" s="234">
        <v>23159.38</v>
      </c>
      <c r="C38" s="86">
        <v>21971.88</v>
      </c>
      <c r="D38" s="87">
        <f t="shared" si="0"/>
        <v>1187.5</v>
      </c>
      <c r="E38" s="84">
        <f t="shared" si="1"/>
        <v>2.4574693652166864E-2</v>
      </c>
    </row>
    <row r="39" spans="1:15" ht="15" x14ac:dyDescent="0.3">
      <c r="A39" s="85">
        <v>19</v>
      </c>
      <c r="B39" s="234">
        <v>23132.27</v>
      </c>
      <c r="C39" s="86">
        <v>21974.61</v>
      </c>
      <c r="D39" s="87">
        <f t="shared" si="0"/>
        <v>1157.6599999999999</v>
      </c>
      <c r="E39" s="84">
        <f t="shared" si="1"/>
        <v>-1.1712506497959226E-3</v>
      </c>
    </row>
    <row r="40" spans="1:15" ht="14.25" customHeight="1" x14ac:dyDescent="0.3">
      <c r="A40" s="88">
        <v>20</v>
      </c>
      <c r="B40" s="235">
        <v>24172.400000000001</v>
      </c>
      <c r="C40" s="89">
        <v>22995.09</v>
      </c>
      <c r="D40" s="90">
        <f t="shared" si="0"/>
        <v>1177.3100000000013</v>
      </c>
      <c r="E40" s="91">
        <f t="shared" si="1"/>
        <v>1.5782764280954872E-2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45</v>
      </c>
      <c r="B42" s="93">
        <f>SUM(B21:B40)</f>
        <v>463491.62000000005</v>
      </c>
      <c r="C42" s="94">
        <f>SUM(C21:C40)</f>
        <v>440311.26999999996</v>
      </c>
      <c r="D42" s="95">
        <f>SUM(D21:D40)</f>
        <v>23180.349999999995</v>
      </c>
    </row>
    <row r="43" spans="1:15" ht="15.75" customHeight="1" x14ac:dyDescent="0.3">
      <c r="A43" s="96" t="s">
        <v>46</v>
      </c>
      <c r="B43" s="97">
        <f>AVERAGE(B21:B40)</f>
        <v>23174.581000000002</v>
      </c>
      <c r="C43" s="98">
        <f>AVERAGE(C21:C40)</f>
        <v>22015.563499999997</v>
      </c>
      <c r="D43" s="99">
        <f>AVERAGE(D21:D40)</f>
        <v>1159.0174999999997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46</v>
      </c>
      <c r="C46" s="102" t="s">
        <v>47</v>
      </c>
    </row>
    <row r="47" spans="1:15" ht="15.75" customHeight="1" x14ac:dyDescent="0.3">
      <c r="B47" s="273">
        <f>D43</f>
        <v>1159.0174999999997</v>
      </c>
      <c r="C47" s="103">
        <f>-(IF(D43&gt;300, 7.5%, 10%))</f>
        <v>-7.4999999999999997E-2</v>
      </c>
      <c r="D47" s="104">
        <f>IF(D43&lt;300, D43*0.9, D43*0.925)</f>
        <v>1072.0911874999997</v>
      </c>
    </row>
    <row r="48" spans="1:15" ht="15.75" customHeight="1" x14ac:dyDescent="0.3">
      <c r="B48" s="274"/>
      <c r="C48" s="105">
        <f>+(IF(D43&gt;300, 7.5%, 10%))</f>
        <v>7.4999999999999997E-2</v>
      </c>
      <c r="D48" s="104">
        <f>IF(D43&lt;300, D43*1.1, D43*1.075)</f>
        <v>1245.9438124999997</v>
      </c>
    </row>
    <row r="49" spans="1:7" ht="14.25" customHeight="1" x14ac:dyDescent="0.3">
      <c r="A49" s="106"/>
      <c r="D49" s="107"/>
    </row>
    <row r="50" spans="1:7" ht="15" customHeight="1" x14ac:dyDescent="0.3">
      <c r="B50" s="239" t="s">
        <v>26</v>
      </c>
      <c r="C50" s="239"/>
      <c r="D50" s="73"/>
      <c r="E50" s="108" t="s">
        <v>27</v>
      </c>
      <c r="F50" s="109"/>
      <c r="G50" s="108" t="s">
        <v>28</v>
      </c>
    </row>
    <row r="51" spans="1:7" ht="15" customHeight="1" x14ac:dyDescent="0.3">
      <c r="A51" s="110" t="s">
        <v>29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30</v>
      </c>
      <c r="B52" s="113"/>
      <c r="C52" s="113"/>
      <c r="D52" s="73"/>
      <c r="E52" s="113"/>
      <c r="F52" s="67"/>
      <c r="G52" s="114"/>
    </row>
  </sheetData>
  <sheetProtection algorithmName="SHA-512" hashValue="cfLLAC7C1TTFUELxnkdcqz8gsgmX1BoknT7CPSugvWNStI62F9kH1OEpoiDouS3ltTYCCO7JrW0oIZRM7voxaw==" saltValue="5UI5qmMomhbcXQFUa+Lkyw==" spinCount="100000" sheet="1" objects="1" scenarios="1" formatCells="0" formatColumns="0" formatRow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Ceftriaxone</vt:lpstr>
      <vt:lpstr>Uniformity</vt:lpstr>
      <vt:lpstr>Ceftriaxone!Print_Area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2016-07-20T15:46:59Z</cp:lastPrinted>
  <dcterms:created xsi:type="dcterms:W3CDTF">2005-07-05T10:19:27Z</dcterms:created>
  <dcterms:modified xsi:type="dcterms:W3CDTF">2016-07-21T05:38:41Z</dcterms:modified>
  <cp:category/>
</cp:coreProperties>
</file>