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SST (2)" sheetId="5" r:id="rId1"/>
    <sheet name="Nevirapine (2)" sheetId="4" r:id="rId2"/>
    <sheet name="Uniformity" sheetId="2" r:id="rId3"/>
  </sheets>
  <definedNames>
    <definedName name="_xlnm.Print_Area" localSheetId="1">'Nevirapine (2)'!$A$1:$H$124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4"/>
  <c r="B116" i="4"/>
  <c r="D100" i="4" s="1"/>
  <c r="D101" i="4" s="1"/>
  <c r="D102" i="4" s="1"/>
  <c r="B98" i="4"/>
  <c r="F95" i="4"/>
  <c r="D95" i="4"/>
  <c r="G94" i="4"/>
  <c r="E94" i="4"/>
  <c r="B87" i="4"/>
  <c r="F97" i="4" s="1"/>
  <c r="B81" i="4"/>
  <c r="B83" i="4" s="1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D45" i="4" s="1"/>
  <c r="D46" i="4" s="1"/>
  <c r="B30" i="4"/>
  <c r="I39" i="4" l="1"/>
  <c r="I92" i="4"/>
  <c r="D97" i="4"/>
  <c r="D98" i="4" s="1"/>
  <c r="D99" i="4" s="1"/>
  <c r="D49" i="4"/>
  <c r="E40" i="4"/>
  <c r="E39" i="4"/>
  <c r="E38" i="4"/>
  <c r="F98" i="4"/>
  <c r="G92" i="4" s="1"/>
  <c r="F44" i="4"/>
  <c r="F45" i="4" s="1"/>
  <c r="F46" i="4" s="1"/>
  <c r="C46" i="2"/>
  <c r="B57" i="4" s="1"/>
  <c r="B69" i="4" s="1"/>
  <c r="C45" i="2"/>
  <c r="C19" i="2"/>
  <c r="D29" i="2" l="1"/>
  <c r="D24" i="2"/>
  <c r="D40" i="2"/>
  <c r="D28" i="2"/>
  <c r="D36" i="2"/>
  <c r="E92" i="4"/>
  <c r="D49" i="2"/>
  <c r="G39" i="4"/>
  <c r="E93" i="4"/>
  <c r="D37" i="2"/>
  <c r="E91" i="4"/>
  <c r="E95" i="4" s="1"/>
  <c r="D32" i="2"/>
  <c r="D25" i="2"/>
  <c r="D33" i="2"/>
  <c r="D41" i="2"/>
  <c r="C50" i="2"/>
  <c r="G38" i="4"/>
  <c r="E42" i="4"/>
  <c r="G91" i="4"/>
  <c r="F99" i="4"/>
  <c r="G93" i="4"/>
  <c r="G40" i="4"/>
  <c r="D52" i="4" s="1"/>
  <c r="C49" i="2"/>
  <c r="D43" i="2"/>
  <c r="D39" i="2"/>
  <c r="D35" i="2"/>
  <c r="D31" i="2"/>
  <c r="D27" i="2"/>
  <c r="D50" i="2"/>
  <c r="B49" i="2"/>
  <c r="D42" i="2"/>
  <c r="D38" i="2"/>
  <c r="D34" i="2"/>
  <c r="D30" i="2"/>
  <c r="D26" i="2"/>
  <c r="D105" i="4" l="1"/>
  <c r="G42" i="4"/>
  <c r="D50" i="4"/>
  <c r="G95" i="4"/>
  <c r="D103" i="4"/>
  <c r="E112" i="4" l="1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4"/>
  <c r="H68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5" i="4"/>
  <c r="H65" i="4" s="1"/>
  <c r="G61" i="4"/>
  <c r="H61" i="4" s="1"/>
  <c r="E115" i="4" l="1"/>
  <c r="E116" i="4" s="1"/>
  <c r="E117" i="4"/>
  <c r="F108" i="4"/>
  <c r="H60" i="4"/>
  <c r="G74" i="4"/>
  <c r="G72" i="4"/>
  <c r="G73" i="4" s="1"/>
  <c r="H74" i="4" l="1"/>
  <c r="H72" i="4"/>
  <c r="F117" i="4"/>
  <c r="F115" i="4"/>
  <c r="G120" i="4" l="1"/>
  <c r="F116" i="4"/>
  <c r="G76" i="4"/>
  <c r="H73" i="4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<sst xmlns="http://schemas.openxmlformats.org/spreadsheetml/2006/main" count="233" uniqueCount="128">
  <si>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</si>
  <si>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</si>
  <si>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</si>
  <si>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</si>
  <si>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</si>
  <si>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</si>
  <si>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</si>
  <si>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NDQB2016061181</t>
  </si>
  <si>
    <t>Weight (mg):</t>
  </si>
  <si>
    <t>Nevirapine USP</t>
  </si>
  <si>
    <t>Standard Conc (mg/mL):</t>
  </si>
  <si>
    <t>Each tablet contains: 200 mg of Nevirapine USP.</t>
  </si>
  <si>
    <t>2016-06-20 10:26:00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</si>
  <si>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</si>
  <si>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</si>
  <si>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</si>
  <si>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</si>
  <si>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</si>
  <si>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</si>
  <si>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</si>
  <si>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</si>
  <si>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</si>
  <si>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</si>
  <si>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</si>
  <si>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</si>
  <si>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</si>
  <si>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</si>
  <si>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</si>
  <si>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</si>
  <si>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</si>
  <si>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</si>
  <si>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</si>
  <si>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</si>
  <si>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</si>
  <si>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</si>
  <si>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</si>
  <si>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</si>
  <si>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</si>
  <si>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</si>
  <si>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</si>
  <si>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</si>
  <si>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</si>
  <si>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</si>
  <si>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</si>
  <si>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</si>
  <si>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</si>
  <si>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</si>
  <si>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</si>
  <si>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</si>
  <si>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</si>
  <si>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</si>
  <si>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</si>
  <si>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</si>
  <si>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</si>
  <si>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</si>
  <si>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</si>
  <si>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</si>
  <si>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</si>
  <si>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</si>
  <si>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</si>
  <si>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</si>
  <si>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</si>
  <si>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</si>
  <si>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</si>
  <si>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</si>
  <si>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</si>
  <si>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</si>
  <si>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</si>
  <si>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</si>
  <si>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</si>
  <si>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</si>
  <si>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</si>
  <si>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</si>
  <si>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</si>
  <si>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</si>
  <si>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</si>
  <si>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</si>
  <si>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</si>
  <si>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</si>
  <si>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</si>
  <si>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</si>
  <si>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</si>
  <si>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</si>
  <si>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</si>
  <si>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</si>
  <si>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</si>
  <si>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</si>
  <si>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</si>
  <si>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</si>
  <si>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</si>
  <si>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</si>
  <si>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</si>
  <si>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</si>
  <si>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</si>
  <si>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</si>
  <si>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</si>
  <si>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</si>
  <si>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</si>
  <si>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</si>
  <si>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</si>
  <si>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</si>
  <si>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</si>
  <si>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</si>
  <si>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</si>
  <si>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</si>
  <si>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</si>
  <si>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</si>
  <si>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</si>
  <si>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</si>
  <si>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</si>
  <si>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</si>
  <si>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</si>
  <si>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</si>
  <si>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</si>
  <si>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</si>
  <si>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</si>
  <si>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</si>
  <si>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</si>
  <si>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</si>
  <si>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</si>
  <si>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</si>
  <si>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</si>
  <si>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</si>
  <si>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</si>
  <si>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</si>
  <si>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</si>
  <si>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N1-4</t>
  </si>
  <si>
    <t>2016-06-09 11:05:09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</si>
</sst>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4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41" sqref="B41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214"/>
      <c r="C14" s="215"/>
      <c r="F14" s="215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216" t="s">
        <v>1</v>
      </c>
      <c r="B16" s="217" t="s">
        <v>2</v>
      </c>
    </row>
    <row r="17" spans="1:5" ht="16.5" customHeight="1" x14ac:dyDescent="0.3">
      <c r="A17" s="218" t="s">
        <v>3</v>
      </c>
      <c r="B17" s="218" t="s">
        <v>5</v>
      </c>
      <c r="D17" s="219"/>
      <c r="E17" s="220"/>
    </row>
    <row r="18" spans="1:5" ht="16.5" customHeight="1" x14ac:dyDescent="0.3">
      <c r="A18" s="221" t="s">
        <v>4</v>
      </c>
      <c r="B18" s="222" t="s">
        <v>7</v>
      </c>
      <c r="C18" s="220"/>
      <c r="D18" s="220"/>
      <c r="E18" s="220"/>
    </row>
    <row r="19" spans="1:5" ht="16.5" customHeight="1" x14ac:dyDescent="0.3">
      <c r="A19" s="221" t="s">
        <v>6</v>
      </c>
      <c r="B19" s="48">
        <v>98.8</v>
      </c>
      <c r="C19" s="220"/>
      <c r="D19" s="220"/>
      <c r="E19" s="220"/>
    </row>
    <row r="20" spans="1:5" ht="16.5" customHeight="1" x14ac:dyDescent="0.3">
      <c r="A20" s="218" t="s">
        <v>8</v>
      </c>
      <c r="B20" s="222">
        <v>17.28</v>
      </c>
      <c r="C20" s="220"/>
      <c r="D20" s="220"/>
      <c r="E20" s="220"/>
    </row>
    <row r="21" spans="1:5" ht="16.5" customHeight="1" x14ac:dyDescent="0.3">
      <c r="A21" s="218" t="s">
        <v>10</v>
      </c>
      <c r="B21" s="223">
        <f>B20/50*3/50</f>
        <v>2.0735999999999997E-2</v>
      </c>
      <c r="C21" s="220"/>
      <c r="D21" s="220"/>
      <c r="E21" s="220"/>
    </row>
    <row r="22" spans="1:5" ht="15.75" customHeight="1" x14ac:dyDescent="0.25">
      <c r="A22" s="220"/>
      <c r="B22" s="220" t="s">
        <v>127</v>
      </c>
      <c r="C22" s="220"/>
      <c r="D22" s="220"/>
      <c r="E22" s="220"/>
    </row>
    <row r="23" spans="1:5" ht="16.5" customHeight="1" x14ac:dyDescent="0.3">
      <c r="A23" s="64" t="s">
        <v>13</v>
      </c>
      <c r="B23" s="224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5">
        <v>1</v>
      </c>
      <c r="B24" s="226">
        <v>304835723</v>
      </c>
      <c r="C24" s="226">
        <v>5553.89</v>
      </c>
      <c r="D24" s="227">
        <v>1.01</v>
      </c>
      <c r="E24" s="228">
        <v>8.43</v>
      </c>
    </row>
    <row r="25" spans="1:5" ht="16.5" customHeight="1" x14ac:dyDescent="0.3">
      <c r="A25" s="225">
        <v>2</v>
      </c>
      <c r="B25" s="226">
        <v>307683796</v>
      </c>
      <c r="C25" s="226">
        <v>5515.43</v>
      </c>
      <c r="D25" s="227">
        <v>1.02</v>
      </c>
      <c r="E25" s="227">
        <v>8.43</v>
      </c>
    </row>
    <row r="26" spans="1:5" ht="16.5" customHeight="1" x14ac:dyDescent="0.3">
      <c r="A26" s="225">
        <v>3</v>
      </c>
      <c r="B26" s="226">
        <v>307124602</v>
      </c>
      <c r="C26" s="226">
        <v>5497.34</v>
      </c>
      <c r="D26" s="227">
        <v>1.02</v>
      </c>
      <c r="E26" s="227">
        <v>8.43</v>
      </c>
    </row>
    <row r="27" spans="1:5" ht="16.5" customHeight="1" x14ac:dyDescent="0.3">
      <c r="A27" s="225">
        <v>4</v>
      </c>
      <c r="B27" s="226">
        <v>308078838</v>
      </c>
      <c r="C27" s="226">
        <v>5447.13</v>
      </c>
      <c r="D27" s="227">
        <v>1.02</v>
      </c>
      <c r="E27" s="227">
        <v>8.43</v>
      </c>
    </row>
    <row r="28" spans="1:5" ht="16.5" customHeight="1" x14ac:dyDescent="0.3">
      <c r="A28" s="225">
        <v>5</v>
      </c>
      <c r="B28" s="226">
        <v>305968606</v>
      </c>
      <c r="C28" s="226">
        <v>5440.37</v>
      </c>
      <c r="D28" s="227">
        <v>1.01</v>
      </c>
      <c r="E28" s="227">
        <v>8.43</v>
      </c>
    </row>
    <row r="29" spans="1:5" ht="16.5" customHeight="1" x14ac:dyDescent="0.3">
      <c r="A29" s="225">
        <v>6</v>
      </c>
      <c r="B29" s="229">
        <v>305534025</v>
      </c>
      <c r="C29" s="229">
        <v>5406.43</v>
      </c>
      <c r="D29" s="230">
        <v>1.01</v>
      </c>
      <c r="E29" s="230">
        <v>8.43</v>
      </c>
    </row>
    <row r="30" spans="1:5" ht="16.5" customHeight="1" x14ac:dyDescent="0.3">
      <c r="A30" s="231" t="s">
        <v>18</v>
      </c>
      <c r="B30" s="232">
        <f>AVERAGE(B24:B29)</f>
        <v>306537598.33333331</v>
      </c>
      <c r="C30" s="233">
        <f>AVERAGE(C24:C29)</f>
        <v>5476.7649999999994</v>
      </c>
      <c r="D30" s="234">
        <f>AVERAGE(D24:D29)</f>
        <v>1.0149999999999999</v>
      </c>
      <c r="E30" s="234">
        <f>AVERAGE(E24:E29)</f>
        <v>8.43</v>
      </c>
    </row>
    <row r="31" spans="1:5" ht="16.5" customHeight="1" x14ac:dyDescent="0.3">
      <c r="A31" s="235" t="s">
        <v>19</v>
      </c>
      <c r="B31" s="236">
        <f>(STDEV(B24:B29)/B30)</f>
        <v>4.1932326998159368E-3</v>
      </c>
      <c r="C31" s="237"/>
      <c r="D31" s="237"/>
      <c r="E31" s="238"/>
    </row>
    <row r="32" spans="1:5" s="48" customFormat="1" ht="16.5" customHeight="1" x14ac:dyDescent="0.3">
      <c r="A32" s="239" t="s">
        <v>20</v>
      </c>
      <c r="B32" s="240">
        <f>COUNT(B24:B29)</f>
        <v>6</v>
      </c>
      <c r="C32" s="241"/>
      <c r="D32" s="242"/>
      <c r="E32" s="243"/>
    </row>
    <row r="33" spans="1:5" s="48" customFormat="1" ht="15.75" customHeight="1" x14ac:dyDescent="0.25">
      <c r="A33" s="220"/>
      <c r="B33" s="220"/>
      <c r="C33" s="220"/>
      <c r="D33" s="220"/>
      <c r="E33" s="220"/>
    </row>
    <row r="34" spans="1:5" s="48" customFormat="1" ht="16.5" customHeight="1" x14ac:dyDescent="0.3">
      <c r="A34" s="221" t="s">
        <v>21</v>
      </c>
      <c r="B34" s="244" t="s">
        <v>22</v>
      </c>
      <c r="C34" s="245"/>
      <c r="D34" s="245"/>
      <c r="E34" s="245"/>
    </row>
    <row r="35" spans="1:5" ht="16.5" customHeight="1" x14ac:dyDescent="0.3">
      <c r="A35" s="221"/>
      <c r="B35" s="244" t="s">
        <v>23</v>
      </c>
      <c r="C35" s="245"/>
      <c r="D35" s="245"/>
      <c r="E35" s="245"/>
    </row>
    <row r="36" spans="1:5" ht="16.5" customHeight="1" x14ac:dyDescent="0.3">
      <c r="A36" s="221"/>
      <c r="B36" s="244" t="s">
        <v>24</v>
      </c>
      <c r="C36" s="245"/>
      <c r="D36" s="245"/>
      <c r="E36" s="245"/>
    </row>
    <row r="37" spans="1:5" ht="15.75" customHeight="1" x14ac:dyDescent="0.25">
      <c r="A37" s="220"/>
      <c r="B37" s="220"/>
      <c r="C37" s="220"/>
      <c r="D37" s="220"/>
      <c r="E37" s="220"/>
    </row>
    <row r="38" spans="1:5" ht="16.5" customHeight="1" x14ac:dyDescent="0.3">
      <c r="A38" s="216" t="s">
        <v>1</v>
      </c>
      <c r="B38" s="217" t="s">
        <v>25</v>
      </c>
    </row>
    <row r="39" spans="1:5" ht="16.5" customHeight="1" x14ac:dyDescent="0.3">
      <c r="A39" s="221" t="s">
        <v>4</v>
      </c>
      <c r="B39" s="218" t="s">
        <v>7</v>
      </c>
      <c r="C39" s="220"/>
      <c r="D39" s="220"/>
      <c r="E39" s="220"/>
    </row>
    <row r="40" spans="1:5" ht="16.5" customHeight="1" x14ac:dyDescent="0.3">
      <c r="A40" s="221" t="s">
        <v>6</v>
      </c>
      <c r="B40" s="222">
        <v>98.8</v>
      </c>
      <c r="C40" s="220"/>
      <c r="D40" s="220"/>
      <c r="E40" s="220"/>
    </row>
    <row r="41" spans="1:5" ht="16.5" customHeight="1" x14ac:dyDescent="0.3">
      <c r="A41" s="218" t="s">
        <v>8</v>
      </c>
      <c r="B41" s="222">
        <v>17.28</v>
      </c>
      <c r="C41" s="220"/>
      <c r="D41" s="220"/>
      <c r="E41" s="220"/>
    </row>
    <row r="42" spans="1:5" ht="16.5" customHeight="1" x14ac:dyDescent="0.3">
      <c r="A42" s="218" t="s">
        <v>10</v>
      </c>
      <c r="B42" s="223">
        <v>2.0735999999999997E-2</v>
      </c>
      <c r="C42" s="220"/>
      <c r="D42" s="220"/>
      <c r="E42" s="220"/>
    </row>
    <row r="43" spans="1:5" ht="15.75" customHeight="1" x14ac:dyDescent="0.25">
      <c r="A43" s="220"/>
      <c r="B43" s="220"/>
      <c r="C43" s="220"/>
      <c r="D43" s="220"/>
      <c r="E43" s="220"/>
    </row>
    <row r="44" spans="1:5" ht="16.5" customHeight="1" x14ac:dyDescent="0.3">
      <c r="A44" s="64" t="s">
        <v>13</v>
      </c>
      <c r="B44" s="224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5">
        <v>1</v>
      </c>
      <c r="B45" s="226">
        <v>304835723</v>
      </c>
      <c r="C45" s="226">
        <v>5553.89</v>
      </c>
      <c r="D45" s="227">
        <v>1.01</v>
      </c>
      <c r="E45" s="228">
        <v>8.43</v>
      </c>
    </row>
    <row r="46" spans="1:5" ht="16.5" customHeight="1" x14ac:dyDescent="0.3">
      <c r="A46" s="225">
        <v>2</v>
      </c>
      <c r="B46" s="226">
        <v>307683796</v>
      </c>
      <c r="C46" s="226">
        <v>5515.43</v>
      </c>
      <c r="D46" s="227">
        <v>1.02</v>
      </c>
      <c r="E46" s="227">
        <v>8.43</v>
      </c>
    </row>
    <row r="47" spans="1:5" ht="16.5" customHeight="1" x14ac:dyDescent="0.3">
      <c r="A47" s="225">
        <v>3</v>
      </c>
      <c r="B47" s="226">
        <v>307124602</v>
      </c>
      <c r="C47" s="226">
        <v>5497.34</v>
      </c>
      <c r="D47" s="227">
        <v>1.02</v>
      </c>
      <c r="E47" s="227">
        <v>8.43</v>
      </c>
    </row>
    <row r="48" spans="1:5" ht="16.5" customHeight="1" x14ac:dyDescent="0.3">
      <c r="A48" s="225">
        <v>4</v>
      </c>
      <c r="B48" s="226">
        <v>308078838</v>
      </c>
      <c r="C48" s="226">
        <v>5447.13</v>
      </c>
      <c r="D48" s="227">
        <v>1.02</v>
      </c>
      <c r="E48" s="227">
        <v>8.43</v>
      </c>
    </row>
    <row r="49" spans="1:7" ht="16.5" customHeight="1" x14ac:dyDescent="0.3">
      <c r="A49" s="225">
        <v>5</v>
      </c>
      <c r="B49" s="226">
        <v>305968606</v>
      </c>
      <c r="C49" s="226">
        <v>5440.37</v>
      </c>
      <c r="D49" s="227">
        <v>1.01</v>
      </c>
      <c r="E49" s="227">
        <v>8.43</v>
      </c>
    </row>
    <row r="50" spans="1:7" ht="16.5" customHeight="1" x14ac:dyDescent="0.3">
      <c r="A50" s="225">
        <v>6</v>
      </c>
      <c r="B50" s="229">
        <v>305534025</v>
      </c>
      <c r="C50" s="229">
        <v>5406.43</v>
      </c>
      <c r="D50" s="230">
        <v>1.01</v>
      </c>
      <c r="E50" s="230">
        <v>8.43</v>
      </c>
    </row>
    <row r="51" spans="1:7" ht="16.5" customHeight="1" x14ac:dyDescent="0.3">
      <c r="A51" s="231" t="s">
        <v>18</v>
      </c>
      <c r="B51" s="232">
        <f>AVERAGE(B45:B50)</f>
        <v>306537598.33333331</v>
      </c>
      <c r="C51" s="233">
        <f>AVERAGE(C45:C50)</f>
        <v>5476.7649999999994</v>
      </c>
      <c r="D51" s="234">
        <f>AVERAGE(D45:D50)</f>
        <v>1.0149999999999999</v>
      </c>
      <c r="E51" s="234">
        <f>AVERAGE(E45:E50)</f>
        <v>8.43</v>
      </c>
    </row>
    <row r="52" spans="1:7" ht="16.5" customHeight="1" x14ac:dyDescent="0.3">
      <c r="A52" s="235" t="s">
        <v>19</v>
      </c>
      <c r="B52" s="236">
        <f>(STDEV(B45:B50)/B51)</f>
        <v>4.1932326998159368E-3</v>
      </c>
      <c r="C52" s="237"/>
      <c r="D52" s="237"/>
      <c r="E52" s="238"/>
    </row>
    <row r="53" spans="1:7" s="48" customFormat="1" ht="16.5" customHeight="1" x14ac:dyDescent="0.3">
      <c r="A53" s="239" t="s">
        <v>20</v>
      </c>
      <c r="B53" s="240">
        <f>COUNT(B45:B50)</f>
        <v>6</v>
      </c>
      <c r="C53" s="241"/>
      <c r="D53" s="242"/>
      <c r="E53" s="243"/>
    </row>
    <row r="54" spans="1:7" s="48" customFormat="1" ht="15.75" customHeight="1" x14ac:dyDescent="0.25">
      <c r="A54" s="220"/>
      <c r="B54" s="220"/>
      <c r="C54" s="220"/>
      <c r="D54" s="220"/>
      <c r="E54" s="220"/>
    </row>
    <row r="55" spans="1:7" s="48" customFormat="1" ht="16.5" customHeight="1" x14ac:dyDescent="0.3">
      <c r="A55" s="221" t="s">
        <v>21</v>
      </c>
      <c r="B55" s="244" t="s">
        <v>22</v>
      </c>
      <c r="C55" s="245"/>
      <c r="D55" s="245"/>
      <c r="E55" s="245"/>
    </row>
    <row r="56" spans="1:7" ht="16.5" customHeight="1" x14ac:dyDescent="0.3">
      <c r="A56" s="221"/>
      <c r="B56" s="244" t="s">
        <v>23</v>
      </c>
      <c r="C56" s="245"/>
      <c r="D56" s="245"/>
      <c r="E56" s="245"/>
    </row>
    <row r="57" spans="1:7" ht="16.5" customHeight="1" x14ac:dyDescent="0.3">
      <c r="A57" s="221"/>
      <c r="B57" s="244" t="s">
        <v>24</v>
      </c>
      <c r="C57" s="245"/>
      <c r="D57" s="245"/>
      <c r="E57" s="245"/>
    </row>
    <row r="58" spans="1:7" ht="14.25" customHeight="1" thickBot="1" x14ac:dyDescent="0.3">
      <c r="A58" s="246"/>
      <c r="B58" s="102"/>
      <c r="D58" s="247"/>
      <c r="F58" s="50"/>
      <c r="G58" s="50"/>
    </row>
    <row r="59" spans="1:7" ht="15" customHeight="1" x14ac:dyDescent="0.3">
      <c r="B59" s="255" t="s">
        <v>26</v>
      </c>
      <c r="C59" s="255"/>
      <c r="E59" s="248" t="s">
        <v>27</v>
      </c>
      <c r="F59" s="249"/>
      <c r="G59" s="248" t="s">
        <v>28</v>
      </c>
    </row>
    <row r="60" spans="1:7" ht="15" customHeight="1" x14ac:dyDescent="0.3">
      <c r="A60" s="250" t="s">
        <v>29</v>
      </c>
      <c r="B60" s="251"/>
      <c r="C60" s="251"/>
      <c r="E60" s="251"/>
      <c r="G60" s="251"/>
    </row>
    <row r="61" spans="1:7" ht="15" customHeight="1" x14ac:dyDescent="0.3">
      <c r="A61" s="250" t="s">
        <v>30</v>
      </c>
      <c r="B61" s="252"/>
      <c r="C61" s="252"/>
      <c r="E61" s="252"/>
      <c r="G61" s="2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82" zoomScale="55" zoomScaleNormal="40" zoomScaleSheetLayoutView="55" zoomScalePageLayoutView="41" workbookViewId="0">
      <selection activeCell="B96" sqref="B96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86" t="s">
        <v>45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25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25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25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25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25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25">
      <c r="A8" s="287" t="s">
        <v>46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25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25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25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25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25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25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>
      <c r="A15" s="49"/>
    </row>
    <row r="16" spans="1:9" ht="19.5" customHeight="1" thickBot="1" x14ac:dyDescent="0.35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51" t="s">
        <v>33</v>
      </c>
      <c r="B18" s="292" t="s">
        <v>5</v>
      </c>
      <c r="C18" s="292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7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293" t="s">
        <v>9</v>
      </c>
      <c r="C20" s="293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293" t="s">
        <v>11</v>
      </c>
      <c r="C21" s="293"/>
      <c r="D21" s="293"/>
      <c r="E21" s="293"/>
      <c r="F21" s="293"/>
      <c r="G21" s="293"/>
      <c r="H21" s="293"/>
      <c r="I21" s="56"/>
    </row>
    <row r="22" spans="1:14" ht="26.25" customHeight="1" x14ac:dyDescent="0.4">
      <c r="A22" s="51" t="s">
        <v>37</v>
      </c>
      <c r="B22" s="57">
        <v>42552.461909722224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42556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2" t="s">
        <v>125</v>
      </c>
      <c r="C26" s="292"/>
    </row>
    <row r="27" spans="1:14" ht="26.25" customHeight="1" x14ac:dyDescent="0.4">
      <c r="A27" s="61" t="s">
        <v>48</v>
      </c>
      <c r="B27" s="294" t="s">
        <v>126</v>
      </c>
      <c r="C27" s="294"/>
    </row>
    <row r="28" spans="1:14" ht="27" customHeight="1" thickBot="1" x14ac:dyDescent="0.45">
      <c r="A28" s="61" t="s">
        <v>6</v>
      </c>
      <c r="B28" s="62">
        <v>98.8</v>
      </c>
    </row>
    <row r="29" spans="1:14" s="64" customFormat="1" ht="27" customHeight="1" thickBot="1" x14ac:dyDescent="0.45">
      <c r="A29" s="61" t="s">
        <v>49</v>
      </c>
      <c r="B29" s="63">
        <v>0</v>
      </c>
      <c r="C29" s="275" t="s">
        <v>50</v>
      </c>
      <c r="D29" s="276"/>
      <c r="E29" s="276"/>
      <c r="F29" s="276"/>
      <c r="G29" s="277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98.8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1</v>
      </c>
      <c r="C31" s="278" t="s">
        <v>53</v>
      </c>
      <c r="D31" s="279"/>
      <c r="E31" s="279"/>
      <c r="F31" s="279"/>
      <c r="G31" s="279"/>
      <c r="H31" s="280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1</v>
      </c>
      <c r="C32" s="278" t="s">
        <v>55</v>
      </c>
      <c r="D32" s="279"/>
      <c r="E32" s="279"/>
      <c r="F32" s="279"/>
      <c r="G32" s="279"/>
      <c r="H32" s="280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50</v>
      </c>
      <c r="C36" s="49"/>
      <c r="D36" s="265" t="s">
        <v>59</v>
      </c>
      <c r="E36" s="285"/>
      <c r="F36" s="265" t="s">
        <v>60</v>
      </c>
      <c r="G36" s="266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3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50</v>
      </c>
      <c r="C38" s="84">
        <v>1</v>
      </c>
      <c r="D38" s="85">
        <v>258682813</v>
      </c>
      <c r="E38" s="86">
        <f>IF(ISBLANK(D38),"-",$D$48/$D$45*D38)</f>
        <v>316030211.36801136</v>
      </c>
      <c r="F38" s="85">
        <v>342772214</v>
      </c>
      <c r="G38" s="87">
        <f>IF(ISBLANK(F38),"-",$D$48/$F$45*F38)</f>
        <v>303434997.96324438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258394414</v>
      </c>
      <c r="E39" s="91">
        <f>IF(ISBLANK(D39),"-",$D$48/$D$45*D39)</f>
        <v>315677877.1875093</v>
      </c>
      <c r="F39" s="90">
        <v>345416620</v>
      </c>
      <c r="G39" s="92">
        <f>IF(ISBLANK(F39),"-",$D$48/$F$45*F39)</f>
        <v>305775926.70965672</v>
      </c>
      <c r="I39" s="256">
        <f>ABS((F43/D43*D42)-F42)/D42</f>
        <v>4.7585936683432452E-2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257952050</v>
      </c>
      <c r="E40" s="91">
        <f>IF(ISBLANK(D40),"-",$D$48/$D$45*D40)</f>
        <v>315137445.50285155</v>
      </c>
      <c r="F40" s="90">
        <v>344524958</v>
      </c>
      <c r="G40" s="92">
        <f>IF(ISBLANK(F40),"-",$D$48/$F$45*F40)</f>
        <v>304986593.60124463</v>
      </c>
      <c r="I40" s="256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258343092.33333334</v>
      </c>
      <c r="E42" s="100">
        <f>AVERAGE(E38:E41)</f>
        <v>315615178.0194574</v>
      </c>
      <c r="F42" s="99">
        <f>AVERAGE(F38:F41)</f>
        <v>344237930.66666669</v>
      </c>
      <c r="G42" s="101">
        <f>AVERAGE(G38:G41)</f>
        <v>304732506.09138197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17.260000000000002</v>
      </c>
      <c r="E43" s="49"/>
      <c r="F43" s="104">
        <v>23.82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17.260000000000002</v>
      </c>
      <c r="E44" s="107"/>
      <c r="F44" s="106">
        <f>F43*$B$34</f>
        <v>23.82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833.33333333333337</v>
      </c>
      <c r="C45" s="105" t="s">
        <v>77</v>
      </c>
      <c r="D45" s="108">
        <f>D44*$B$30/100</f>
        <v>17.052880000000002</v>
      </c>
      <c r="E45" s="109"/>
      <c r="F45" s="108">
        <f>F44*$B$30/100</f>
        <v>23.53416</v>
      </c>
      <c r="H45" s="102"/>
    </row>
    <row r="46" spans="1:14" ht="19.5" customHeight="1" thickBot="1" x14ac:dyDescent="0.35">
      <c r="A46" s="257" t="s">
        <v>78</v>
      </c>
      <c r="B46" s="261"/>
      <c r="C46" s="105" t="s">
        <v>79</v>
      </c>
      <c r="D46" s="110">
        <f>D45/$B$45</f>
        <v>2.0463456000000001E-2</v>
      </c>
      <c r="E46" s="111"/>
      <c r="F46" s="112">
        <f>F45/$B$45</f>
        <v>2.8240991999999999E-2</v>
      </c>
      <c r="H46" s="102"/>
    </row>
    <row r="47" spans="1:14" ht="27" customHeight="1" thickBot="1" x14ac:dyDescent="0.45">
      <c r="A47" s="259"/>
      <c r="B47" s="262"/>
      <c r="C47" s="113" t="s">
        <v>80</v>
      </c>
      <c r="D47" s="114">
        <v>2.5000000000000001E-2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20.833333333333336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20.833333333333336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310173842.05541968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1.939175727589736E-2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Each tablet contains: 200 mg of Nevirapine USP.</v>
      </c>
    </row>
    <row r="56" spans="1:12" ht="26.25" customHeight="1" x14ac:dyDescent="0.4">
      <c r="A56" s="127" t="s">
        <v>87</v>
      </c>
      <c r="B56" s="128">
        <v>200</v>
      </c>
      <c r="C56" s="49" t="str">
        <f>B20</f>
        <v>Nevirapine USP</v>
      </c>
      <c r="H56" s="107"/>
    </row>
    <row r="57" spans="1:12" ht="18.75" x14ac:dyDescent="0.3">
      <c r="A57" s="127" t="s">
        <v>88</v>
      </c>
      <c r="B57" s="129">
        <f>Uniformity!C46</f>
        <v>798.73099999999999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250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3</v>
      </c>
      <c r="C60" s="267" t="s">
        <v>94</v>
      </c>
      <c r="D60" s="270">
        <v>815.88</v>
      </c>
      <c r="E60" s="132">
        <v>1</v>
      </c>
      <c r="F60" s="133">
        <v>300075556</v>
      </c>
      <c r="G60" s="134">
        <f>IF(ISBLANK(F60),"-",(F60/$D$50*$D$47*$B$68)*($B$57/$D$60))</f>
        <v>197.31425664560476</v>
      </c>
      <c r="H60" s="135">
        <f t="shared" ref="H60:H71" si="0">IF(ISBLANK(F60),"-",G60/$B$56)</f>
        <v>0.98657128322802379</v>
      </c>
      <c r="L60" s="65"/>
    </row>
    <row r="61" spans="1:12" s="64" customFormat="1" ht="26.25" customHeight="1" x14ac:dyDescent="0.4">
      <c r="A61" s="77" t="s">
        <v>95</v>
      </c>
      <c r="B61" s="78">
        <v>100</v>
      </c>
      <c r="C61" s="268"/>
      <c r="D61" s="271"/>
      <c r="E61" s="136">
        <v>2</v>
      </c>
      <c r="F61" s="90">
        <v>298017715</v>
      </c>
      <c r="G61" s="137">
        <f>IF(ISBLANK(F61),"-",(F61/$D$50*$D$47*$B$68)*($B$57/$D$60))</f>
        <v>195.96112621198208</v>
      </c>
      <c r="H61" s="138">
        <f t="shared" si="0"/>
        <v>0.97980563105991036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268"/>
      <c r="D62" s="271"/>
      <c r="E62" s="136">
        <v>3</v>
      </c>
      <c r="F62" s="139">
        <v>300384525</v>
      </c>
      <c r="G62" s="137">
        <f>IF(ISBLANK(F62),"-",(F62/$D$50*$D$47*$B$68)*($B$57/$D$60))</f>
        <v>197.51741877375068</v>
      </c>
      <c r="H62" s="138">
        <f t="shared" si="0"/>
        <v>0.98758709386875343</v>
      </c>
      <c r="L62" s="65"/>
    </row>
    <row r="63" spans="1:12" ht="27" customHeight="1" thickBot="1" x14ac:dyDescent="0.45">
      <c r="A63" s="77" t="s">
        <v>97</v>
      </c>
      <c r="B63" s="78">
        <v>1</v>
      </c>
      <c r="C63" s="269"/>
      <c r="D63" s="272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267" t="s">
        <v>99</v>
      </c>
      <c r="D64" s="270">
        <v>779</v>
      </c>
      <c r="E64" s="132">
        <v>1</v>
      </c>
      <c r="F64" s="133">
        <v>285738715</v>
      </c>
      <c r="G64" s="142">
        <f>IF(ISBLANK(F64),"-",(F64/$D$50*$D$47*$B$68)*($B$57/$D$64))</f>
        <v>196.78217801414556</v>
      </c>
      <c r="H64" s="143">
        <f t="shared" si="0"/>
        <v>0.98391089007072774</v>
      </c>
    </row>
    <row r="65" spans="1:8" ht="26.25" customHeight="1" x14ac:dyDescent="0.4">
      <c r="A65" s="77" t="s">
        <v>100</v>
      </c>
      <c r="B65" s="78">
        <v>1</v>
      </c>
      <c r="C65" s="268"/>
      <c r="D65" s="271"/>
      <c r="E65" s="136">
        <v>2</v>
      </c>
      <c r="F65" s="90">
        <v>286216417</v>
      </c>
      <c r="G65" s="144">
        <f>IF(ISBLANK(F65),"-",(F65/$D$50*$D$47*$B$68)*($B$57/$D$64))</f>
        <v>197.11116122526454</v>
      </c>
      <c r="H65" s="145">
        <f t="shared" si="0"/>
        <v>0.98555580612632265</v>
      </c>
    </row>
    <row r="66" spans="1:8" ht="26.25" customHeight="1" x14ac:dyDescent="0.4">
      <c r="A66" s="77" t="s">
        <v>101</v>
      </c>
      <c r="B66" s="78">
        <v>1</v>
      </c>
      <c r="C66" s="268"/>
      <c r="D66" s="271"/>
      <c r="E66" s="136">
        <v>3</v>
      </c>
      <c r="F66" s="90">
        <v>289107121</v>
      </c>
      <c r="G66" s="144">
        <f>IF(ISBLANK(F66),"-",(F66/$D$50*$D$47*$B$68)*($B$57/$D$64))</f>
        <v>199.10192761166132</v>
      </c>
      <c r="H66" s="145">
        <f t="shared" si="0"/>
        <v>0.99550963805830661</v>
      </c>
    </row>
    <row r="67" spans="1:8" ht="27" customHeight="1" thickBot="1" x14ac:dyDescent="0.45">
      <c r="A67" s="77" t="s">
        <v>102</v>
      </c>
      <c r="B67" s="78">
        <v>1</v>
      </c>
      <c r="C67" s="269"/>
      <c r="D67" s="272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7" t="s">
        <v>103</v>
      </c>
      <c r="B68" s="148">
        <f>(B67/B66)*(B65/B64)*(B63/B62)*(B61/B60)*B59</f>
        <v>8333.3333333333339</v>
      </c>
      <c r="C68" s="267" t="s">
        <v>104</v>
      </c>
      <c r="D68" s="270">
        <v>760.03</v>
      </c>
      <c r="E68" s="132">
        <v>1</v>
      </c>
      <c r="F68" s="133">
        <v>280191162</v>
      </c>
      <c r="G68" s="142">
        <f>IF(ISBLANK(F68),"-",(F68/$D$50*$D$47*$B$68)*($B$57/$D$68))</f>
        <v>197.77793158951295</v>
      </c>
      <c r="H68" s="138">
        <f t="shared" si="0"/>
        <v>0.98888965794756478</v>
      </c>
    </row>
    <row r="69" spans="1:8" ht="27" customHeight="1" thickBot="1" x14ac:dyDescent="0.45">
      <c r="A69" s="123" t="s">
        <v>105</v>
      </c>
      <c r="B69" s="149">
        <f>(D47*B68)/B56*B57</f>
        <v>832.01145833333351</v>
      </c>
      <c r="C69" s="268"/>
      <c r="D69" s="271"/>
      <c r="E69" s="136">
        <v>2</v>
      </c>
      <c r="F69" s="90">
        <v>280776672</v>
      </c>
      <c r="G69" s="144">
        <f>IF(ISBLANK(F69),"-",(F69/$D$50*$D$47*$B$68)*($B$57/$D$68))</f>
        <v>198.19122427118918</v>
      </c>
      <c r="H69" s="138">
        <f t="shared" si="0"/>
        <v>0.99095612135594591</v>
      </c>
    </row>
    <row r="70" spans="1:8" ht="26.25" customHeight="1" x14ac:dyDescent="0.4">
      <c r="A70" s="281" t="s">
        <v>78</v>
      </c>
      <c r="B70" s="282"/>
      <c r="C70" s="268"/>
      <c r="D70" s="271"/>
      <c r="E70" s="136">
        <v>3</v>
      </c>
      <c r="F70" s="90">
        <v>280980664</v>
      </c>
      <c r="G70" s="144">
        <f>IF(ISBLANK(F70),"-",(F70/$D$50*$D$47*$B$68)*($B$57/$D$68))</f>
        <v>198.33521566453948</v>
      </c>
      <c r="H70" s="138">
        <f t="shared" si="0"/>
        <v>0.99167607832269733</v>
      </c>
    </row>
    <row r="71" spans="1:8" ht="27" customHeight="1" thickBot="1" x14ac:dyDescent="0.45">
      <c r="A71" s="283"/>
      <c r="B71" s="284"/>
      <c r="C71" s="273"/>
      <c r="D71" s="272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197.56582666751672</v>
      </c>
      <c r="H72" s="153">
        <f>AVERAGE(H60:H71)</f>
        <v>0.98782913333758371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4.6834187603196032E-3</v>
      </c>
      <c r="H73" s="155">
        <f>STDEV(H60:H71)/H72</f>
        <v>4.6834187603196067E-3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263" t="str">
        <f>B20</f>
        <v>Nevirapine USP</v>
      </c>
      <c r="D76" s="263"/>
      <c r="E76" s="49" t="s">
        <v>108</v>
      </c>
      <c r="F76" s="49"/>
      <c r="G76" s="158">
        <f>H72</f>
        <v>0.98782913333758371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74" t="str">
        <f>B26</f>
        <v>NEVIRAPINE</v>
      </c>
      <c r="C79" s="274"/>
    </row>
    <row r="80" spans="1:8" ht="26.25" customHeight="1" x14ac:dyDescent="0.4">
      <c r="A80" s="61" t="s">
        <v>48</v>
      </c>
      <c r="B80" s="274" t="str">
        <f>B27</f>
        <v>N1-4</v>
      </c>
      <c r="C80" s="274"/>
    </row>
    <row r="81" spans="1:12" ht="27" customHeight="1" thickBot="1" x14ac:dyDescent="0.45">
      <c r="A81" s="61" t="s">
        <v>6</v>
      </c>
      <c r="B81" s="62">
        <f>B28</f>
        <v>98.8</v>
      </c>
    </row>
    <row r="82" spans="1:12" s="64" customFormat="1" ht="27" customHeight="1" thickBot="1" x14ac:dyDescent="0.45">
      <c r="A82" s="61" t="s">
        <v>49</v>
      </c>
      <c r="B82" s="63">
        <v>0</v>
      </c>
      <c r="C82" s="275" t="s">
        <v>50</v>
      </c>
      <c r="D82" s="276"/>
      <c r="E82" s="276"/>
      <c r="F82" s="276"/>
      <c r="G82" s="277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98.8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>
        <v>1</v>
      </c>
      <c r="C84" s="278" t="s">
        <v>111</v>
      </c>
      <c r="D84" s="279"/>
      <c r="E84" s="279"/>
      <c r="F84" s="279"/>
      <c r="G84" s="279"/>
      <c r="H84" s="280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>
        <v>1</v>
      </c>
      <c r="C85" s="278" t="s">
        <v>112</v>
      </c>
      <c r="D85" s="279"/>
      <c r="E85" s="279"/>
      <c r="F85" s="279"/>
      <c r="G85" s="279"/>
      <c r="H85" s="280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>
        <v>50</v>
      </c>
      <c r="D89" s="159" t="s">
        <v>59</v>
      </c>
      <c r="E89" s="160"/>
      <c r="F89" s="265" t="s">
        <v>60</v>
      </c>
      <c r="G89" s="266"/>
    </row>
    <row r="90" spans="1:12" ht="27" customHeight="1" thickBot="1" x14ac:dyDescent="0.45">
      <c r="A90" s="77" t="s">
        <v>61</v>
      </c>
      <c r="B90" s="78">
        <v>3</v>
      </c>
      <c r="C90" s="161" t="s">
        <v>62</v>
      </c>
      <c r="D90" s="80" t="s">
        <v>63</v>
      </c>
      <c r="E90" s="81" t="s">
        <v>64</v>
      </c>
      <c r="F90" s="80" t="s">
        <v>63</v>
      </c>
      <c r="G90" s="162" t="s">
        <v>64</v>
      </c>
      <c r="I90" s="83" t="s">
        <v>65</v>
      </c>
    </row>
    <row r="91" spans="1:12" ht="26.25" customHeight="1" x14ac:dyDescent="0.4">
      <c r="A91" s="77" t="s">
        <v>66</v>
      </c>
      <c r="B91" s="78">
        <v>100</v>
      </c>
      <c r="C91" s="163">
        <v>1</v>
      </c>
      <c r="D91" s="85">
        <v>184804612</v>
      </c>
      <c r="E91" s="86">
        <f>IF(ISBLANK(D91),"-",$D$101/$D$98*D91)</f>
        <v>173121571.96459788</v>
      </c>
      <c r="F91" s="85">
        <v>157730558</v>
      </c>
      <c r="G91" s="87">
        <f>IF(ISBLANK(F91),"-",$D$101/$F$98*F91)</f>
        <v>172889661.86396164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90">
        <v>188297186</v>
      </c>
      <c r="E92" s="91">
        <f>IF(ISBLANK(D92),"-",$D$101/$D$98*D92)</f>
        <v>176393351.24834585</v>
      </c>
      <c r="F92" s="90">
        <v>159178572</v>
      </c>
      <c r="G92" s="92">
        <f>IF(ISBLANK(F92),"-",$D$101/$F$98*F92)</f>
        <v>174476841.00038671</v>
      </c>
      <c r="I92" s="256">
        <f>ABS((F96/D96*D95)-F95)/D95</f>
        <v>3.0592534525763081E-3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90">
        <v>183830896</v>
      </c>
      <c r="E93" s="91">
        <f>IF(ISBLANK(D93),"-",$D$101/$D$98*D93)</f>
        <v>172209412.66974714</v>
      </c>
      <c r="F93" s="90">
        <v>160773797</v>
      </c>
      <c r="G93" s="92">
        <f>IF(ISBLANK(F93),"-",$D$101/$F$98*F93)</f>
        <v>176225379.23130414</v>
      </c>
      <c r="I93" s="256"/>
    </row>
    <row r="94" spans="1:12" ht="27" customHeight="1" thickBot="1" x14ac:dyDescent="0.45">
      <c r="A94" s="77" t="s">
        <v>69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165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166">
        <f>AVERAGE(D91:D94)</f>
        <v>185644231.33333334</v>
      </c>
      <c r="E95" s="100">
        <f>AVERAGE(E91:E94)</f>
        <v>173908111.96089697</v>
      </c>
      <c r="F95" s="167">
        <f>AVERAGE(F91:F94)</f>
        <v>159227642.33333334</v>
      </c>
      <c r="G95" s="168">
        <f>AVERAGE(G91:G94)</f>
        <v>174530627.36521748</v>
      </c>
    </row>
    <row r="96" spans="1:12" ht="26.25" customHeight="1" x14ac:dyDescent="0.4">
      <c r="A96" s="77" t="s">
        <v>72</v>
      </c>
      <c r="B96" s="62">
        <v>1</v>
      </c>
      <c r="C96" s="169" t="s">
        <v>113</v>
      </c>
      <c r="D96" s="170">
        <v>24.01</v>
      </c>
      <c r="E96" s="49"/>
      <c r="F96" s="104">
        <v>20.52</v>
      </c>
    </row>
    <row r="97" spans="1:10" ht="26.25" customHeight="1" x14ac:dyDescent="0.4">
      <c r="A97" s="77" t="s">
        <v>74</v>
      </c>
      <c r="B97" s="62">
        <v>1</v>
      </c>
      <c r="C97" s="171" t="s">
        <v>114</v>
      </c>
      <c r="D97" s="172">
        <f>D96*$B$87</f>
        <v>24.01</v>
      </c>
      <c r="E97" s="107"/>
      <c r="F97" s="106">
        <f>F96*$B$87</f>
        <v>20.52</v>
      </c>
    </row>
    <row r="98" spans="1:10" ht="19.5" customHeight="1" thickBot="1" x14ac:dyDescent="0.35">
      <c r="A98" s="77" t="s">
        <v>76</v>
      </c>
      <c r="B98" s="107">
        <f>(B97/B96)*(B95/B94)*(B93/B92)*(B91/B90)*B89</f>
        <v>1666.6666666666667</v>
      </c>
      <c r="C98" s="171" t="s">
        <v>115</v>
      </c>
      <c r="D98" s="173">
        <f>D97*$B$83/100</f>
        <v>23.721880000000002</v>
      </c>
      <c r="E98" s="109"/>
      <c r="F98" s="108">
        <f>F97*$B$83/100</f>
        <v>20.273759999999999</v>
      </c>
    </row>
    <row r="99" spans="1:10" ht="19.5" customHeight="1" thickBot="1" x14ac:dyDescent="0.35">
      <c r="A99" s="257" t="s">
        <v>78</v>
      </c>
      <c r="B99" s="258"/>
      <c r="C99" s="171" t="s">
        <v>116</v>
      </c>
      <c r="D99" s="174">
        <f>D98/$B$98</f>
        <v>1.4233128000000001E-2</v>
      </c>
      <c r="E99" s="109"/>
      <c r="F99" s="112">
        <f>F98/$B$98</f>
        <v>1.2164255999999998E-2</v>
      </c>
      <c r="H99" s="102"/>
    </row>
    <row r="100" spans="1:10" ht="19.5" customHeight="1" thickBot="1" x14ac:dyDescent="0.35">
      <c r="A100" s="259"/>
      <c r="B100" s="260"/>
      <c r="C100" s="171" t="s">
        <v>80</v>
      </c>
      <c r="D100" s="175">
        <f>$B$56/$B$116</f>
        <v>1.3333333333333332E-2</v>
      </c>
      <c r="F100" s="117"/>
      <c r="G100" s="176"/>
      <c r="H100" s="102"/>
    </row>
    <row r="101" spans="1:10" ht="18.75" x14ac:dyDescent="0.3">
      <c r="C101" s="171" t="s">
        <v>81</v>
      </c>
      <c r="D101" s="172">
        <f>D100*$B$98</f>
        <v>22.222222222222221</v>
      </c>
      <c r="F101" s="117"/>
      <c r="H101" s="102"/>
    </row>
    <row r="102" spans="1:10" ht="19.5" customHeight="1" thickBot="1" x14ac:dyDescent="0.35">
      <c r="C102" s="177" t="s">
        <v>82</v>
      </c>
      <c r="D102" s="178">
        <f>D101/B34</f>
        <v>22.222222222222221</v>
      </c>
      <c r="F102" s="121"/>
      <c r="H102" s="102"/>
      <c r="J102" s="179"/>
    </row>
    <row r="103" spans="1:10" ht="18.75" x14ac:dyDescent="0.3">
      <c r="C103" s="180" t="s">
        <v>117</v>
      </c>
      <c r="D103" s="181">
        <f>AVERAGE(E91:E94,G91:G94)</f>
        <v>174219369.66305724</v>
      </c>
      <c r="F103" s="121"/>
      <c r="G103" s="176"/>
      <c r="H103" s="102"/>
      <c r="J103" s="182"/>
    </row>
    <row r="104" spans="1:10" ht="18.75" x14ac:dyDescent="0.3">
      <c r="C104" s="154" t="s">
        <v>84</v>
      </c>
      <c r="D104" s="183">
        <f>STDEV(E91:E94,G91:G94)/D103</f>
        <v>1.0213059999400349E-2</v>
      </c>
      <c r="F104" s="121"/>
      <c r="H104" s="102"/>
      <c r="J104" s="182"/>
    </row>
    <row r="105" spans="1:10" ht="19.5" customHeight="1" thickBot="1" x14ac:dyDescent="0.35">
      <c r="C105" s="156" t="s">
        <v>20</v>
      </c>
      <c r="D105" s="184">
        <f>COUNT(E91:E94,G91:G94)</f>
        <v>6</v>
      </c>
      <c r="F105" s="121"/>
      <c r="H105" s="102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118</v>
      </c>
      <c r="B107" s="76">
        <v>900</v>
      </c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 x14ac:dyDescent="0.4">
      <c r="A108" s="77" t="s">
        <v>122</v>
      </c>
      <c r="B108" s="78">
        <v>3</v>
      </c>
      <c r="C108" s="188">
        <v>1</v>
      </c>
      <c r="D108" s="189">
        <v>152444382</v>
      </c>
      <c r="E108" s="190">
        <f t="shared" ref="E108:E113" si="1">IF(ISBLANK(D108),"-",D108/$D$103*$D$100*$B$116)</f>
        <v>175.00279365587147</v>
      </c>
      <c r="F108" s="191">
        <f t="shared" ref="F108:F113" si="2">IF(ISBLANK(D108), "-", E108/$B$56)</f>
        <v>0.8750139682793574</v>
      </c>
    </row>
    <row r="109" spans="1:10" ht="26.25" customHeight="1" x14ac:dyDescent="0.4">
      <c r="A109" s="77" t="s">
        <v>95</v>
      </c>
      <c r="B109" s="78">
        <v>50</v>
      </c>
      <c r="C109" s="188">
        <v>2</v>
      </c>
      <c r="D109" s="189">
        <v>151136655</v>
      </c>
      <c r="E109" s="192">
        <f t="shared" si="1"/>
        <v>173.50155185649044</v>
      </c>
      <c r="F109" s="193">
        <f t="shared" si="2"/>
        <v>0.86750775928245216</v>
      </c>
    </row>
    <row r="110" spans="1:10" ht="26.25" customHeight="1" x14ac:dyDescent="0.4">
      <c r="A110" s="77" t="s">
        <v>96</v>
      </c>
      <c r="B110" s="78">
        <v>1</v>
      </c>
      <c r="C110" s="188">
        <v>3</v>
      </c>
      <c r="D110" s="189">
        <v>150609872</v>
      </c>
      <c r="E110" s="192">
        <f t="shared" si="1"/>
        <v>172.89681657244159</v>
      </c>
      <c r="F110" s="193">
        <f t="shared" si="2"/>
        <v>0.86448408286220801</v>
      </c>
    </row>
    <row r="111" spans="1:10" ht="26.25" customHeight="1" x14ac:dyDescent="0.4">
      <c r="A111" s="77" t="s">
        <v>97</v>
      </c>
      <c r="B111" s="78">
        <v>1</v>
      </c>
      <c r="C111" s="188">
        <v>4</v>
      </c>
      <c r="D111" s="189">
        <v>154515832</v>
      </c>
      <c r="E111" s="192">
        <f t="shared" si="1"/>
        <v>177.38077264179736</v>
      </c>
      <c r="F111" s="193">
        <f t="shared" si="2"/>
        <v>0.88690386320898684</v>
      </c>
    </row>
    <row r="112" spans="1:10" ht="26.25" customHeight="1" x14ac:dyDescent="0.4">
      <c r="A112" s="77" t="s">
        <v>98</v>
      </c>
      <c r="B112" s="78">
        <v>1</v>
      </c>
      <c r="C112" s="188">
        <v>5</v>
      </c>
      <c r="D112" s="189">
        <v>149575375</v>
      </c>
      <c r="E112" s="192">
        <f t="shared" si="1"/>
        <v>171.70923679643764</v>
      </c>
      <c r="F112" s="193">
        <f t="shared" si="2"/>
        <v>0.85854618398218818</v>
      </c>
    </row>
    <row r="113" spans="1:10" ht="26.25" customHeight="1" x14ac:dyDescent="0.4">
      <c r="A113" s="77" t="s">
        <v>100</v>
      </c>
      <c r="B113" s="78">
        <v>1</v>
      </c>
      <c r="C113" s="194">
        <v>6</v>
      </c>
      <c r="D113" s="195">
        <v>152637805</v>
      </c>
      <c r="E113" s="196">
        <f t="shared" si="1"/>
        <v>175.22483900062747</v>
      </c>
      <c r="F113" s="197">
        <f t="shared" si="2"/>
        <v>0.87612419500313732</v>
      </c>
    </row>
    <row r="114" spans="1:10" ht="26.25" customHeight="1" x14ac:dyDescent="0.4">
      <c r="A114" s="77" t="s">
        <v>101</v>
      </c>
      <c r="B114" s="78">
        <v>1</v>
      </c>
      <c r="C114" s="188"/>
      <c r="D114" s="107"/>
      <c r="E114" s="49"/>
      <c r="F114" s="198"/>
    </row>
    <row r="115" spans="1:10" ht="26.25" customHeight="1" x14ac:dyDescent="0.4">
      <c r="A115" s="77" t="s">
        <v>102</v>
      </c>
      <c r="B115" s="78">
        <v>1</v>
      </c>
      <c r="C115" s="188"/>
      <c r="D115" s="199" t="s">
        <v>71</v>
      </c>
      <c r="E115" s="200">
        <f>AVERAGE(E108:E113)</f>
        <v>174.28600175394433</v>
      </c>
      <c r="F115" s="201">
        <f>AVERAGE(F108:F113)</f>
        <v>0.87143000876972154</v>
      </c>
    </row>
    <row r="116" spans="1:10" ht="27" customHeight="1" thickBot="1" x14ac:dyDescent="0.45">
      <c r="A116" s="77" t="s">
        <v>103</v>
      </c>
      <c r="B116" s="89">
        <f>(B115/B114)*(B113/B112)*(B111/B110)*(B109/B108)*B107</f>
        <v>15000.000000000002</v>
      </c>
      <c r="C116" s="202"/>
      <c r="D116" s="61" t="s">
        <v>84</v>
      </c>
      <c r="E116" s="203">
        <f>STDEV(E108:E113)/E115</f>
        <v>1.1520551694396142E-2</v>
      </c>
      <c r="F116" s="203">
        <f>STDEV(F108:F113)/F115</f>
        <v>1.1520551694396149E-2</v>
      </c>
      <c r="I116" s="49"/>
    </row>
    <row r="117" spans="1:10" ht="27" customHeight="1" thickBot="1" x14ac:dyDescent="0.45">
      <c r="A117" s="257" t="s">
        <v>78</v>
      </c>
      <c r="B117" s="261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49"/>
      <c r="J117" s="182"/>
    </row>
    <row r="118" spans="1:10" ht="19.5" customHeight="1" thickBot="1" x14ac:dyDescent="0.35">
      <c r="A118" s="259"/>
      <c r="B118" s="262"/>
      <c r="C118" s="49"/>
      <c r="D118" s="49"/>
      <c r="E118" s="49"/>
      <c r="F118" s="107"/>
      <c r="G118" s="49"/>
      <c r="H118" s="49"/>
      <c r="I118" s="49"/>
    </row>
    <row r="119" spans="1:10" ht="18.75" x14ac:dyDescent="0.3">
      <c r="A119" s="207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 x14ac:dyDescent="0.4">
      <c r="A120" s="60" t="s">
        <v>106</v>
      </c>
      <c r="B120" s="61" t="s">
        <v>123</v>
      </c>
      <c r="C120" s="263" t="str">
        <f>B20</f>
        <v>Nevirapine USP</v>
      </c>
      <c r="D120" s="263"/>
      <c r="E120" s="49" t="s">
        <v>124</v>
      </c>
      <c r="F120" s="49"/>
      <c r="G120" s="158">
        <f>F115</f>
        <v>0.87143000876972154</v>
      </c>
      <c r="H120" s="49"/>
      <c r="I120" s="49"/>
    </row>
    <row r="121" spans="1:10" ht="19.5" customHeight="1" thickBo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264" t="s">
        <v>26</v>
      </c>
      <c r="C122" s="264"/>
      <c r="E122" s="161" t="s">
        <v>27</v>
      </c>
      <c r="F122" s="210"/>
      <c r="G122" s="264" t="s">
        <v>28</v>
      </c>
      <c r="H122" s="264"/>
    </row>
    <row r="123" spans="1:10" ht="69.95" customHeight="1" x14ac:dyDescent="0.3">
      <c r="A123" s="60" t="s">
        <v>29</v>
      </c>
      <c r="B123" s="211"/>
      <c r="C123" s="211"/>
      <c r="E123" s="211"/>
      <c r="F123" s="49"/>
      <c r="G123" s="211"/>
      <c r="H123" s="211"/>
    </row>
    <row r="124" spans="1:10" ht="69.95" customHeight="1" x14ac:dyDescent="0.3">
      <c r="A124" s="60" t="s">
        <v>30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 x14ac:dyDescent="0.25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36" sqref="C3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8" t="s">
        <v>31</v>
      </c>
      <c r="B11" s="299"/>
      <c r="C11" s="299"/>
      <c r="D11" s="299"/>
      <c r="E11" s="299"/>
      <c r="F11" s="300"/>
      <c r="G11" s="41"/>
    </row>
    <row r="12" spans="1:7" ht="16.5" customHeight="1" x14ac:dyDescent="0.3">
      <c r="A12" s="297" t="s">
        <v>32</v>
      </c>
      <c r="B12" s="297"/>
      <c r="C12" s="297"/>
      <c r="D12" s="297"/>
      <c r="E12" s="297"/>
      <c r="F12" s="297"/>
      <c r="G12" s="40"/>
    </row>
    <row r="14" spans="1:7" ht="16.5" customHeight="1" x14ac:dyDescent="0.3">
      <c r="A14" s="302" t="s">
        <v>33</v>
      </c>
      <c r="B14" s="302"/>
      <c r="C14" s="10" t="s">
        <v>5</v>
      </c>
    </row>
    <row r="15" spans="1:7" ht="16.5" customHeight="1" x14ac:dyDescent="0.3">
      <c r="A15" s="302" t="s">
        <v>34</v>
      </c>
      <c r="B15" s="302"/>
      <c r="C15" s="10" t="s">
        <v>7</v>
      </c>
    </row>
    <row r="16" spans="1:7" ht="16.5" customHeight="1" x14ac:dyDescent="0.3">
      <c r="A16" s="302" t="s">
        <v>35</v>
      </c>
      <c r="B16" s="302"/>
      <c r="C16" s="10" t="s">
        <v>9</v>
      </c>
    </row>
    <row r="17" spans="1:5" ht="16.5" customHeight="1" x14ac:dyDescent="0.3">
      <c r="A17" s="302" t="s">
        <v>36</v>
      </c>
      <c r="B17" s="302"/>
      <c r="C17" s="10" t="s">
        <v>11</v>
      </c>
    </row>
    <row r="18" spans="1:5" ht="16.5" customHeight="1" x14ac:dyDescent="0.3">
      <c r="A18" s="302" t="s">
        <v>37</v>
      </c>
      <c r="B18" s="302"/>
      <c r="C18" s="47" t="s">
        <v>12</v>
      </c>
    </row>
    <row r="19" spans="1:5" ht="16.5" customHeight="1" x14ac:dyDescent="0.3">
      <c r="A19" s="302" t="s">
        <v>38</v>
      </c>
      <c r="B19" s="30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7" t="s">
        <v>1</v>
      </c>
      <c r="B21" s="297"/>
      <c r="C21" s="9" t="s">
        <v>39</v>
      </c>
      <c r="D21" s="16"/>
    </row>
    <row r="22" spans="1:5" ht="15.75" customHeight="1" x14ac:dyDescent="0.3">
      <c r="A22" s="301"/>
      <c r="B22" s="301"/>
      <c r="C22" s="7"/>
      <c r="D22" s="301"/>
      <c r="E22" s="301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806.94</v>
      </c>
      <c r="D24" s="37">
        <f t="shared" ref="D24:D43" si="0">(C24-$C$46)/$C$46</f>
        <v>1.027755276807844E-2</v>
      </c>
      <c r="E24" s="3"/>
    </row>
    <row r="25" spans="1:5" ht="15.75" customHeight="1" x14ac:dyDescent="0.3">
      <c r="C25" s="45">
        <v>813.32</v>
      </c>
      <c r="D25" s="38">
        <f t="shared" si="0"/>
        <v>1.8265223210317434E-2</v>
      </c>
      <c r="E25" s="3"/>
    </row>
    <row r="26" spans="1:5" ht="15.75" customHeight="1" x14ac:dyDescent="0.3">
      <c r="C26" s="45">
        <v>783.72</v>
      </c>
      <c r="D26" s="38">
        <f t="shared" si="0"/>
        <v>-1.8793561286590814E-2</v>
      </c>
      <c r="E26" s="3"/>
    </row>
    <row r="27" spans="1:5" ht="15.75" customHeight="1" x14ac:dyDescent="0.3">
      <c r="C27" s="45">
        <v>825.13</v>
      </c>
      <c r="D27" s="38">
        <f t="shared" si="0"/>
        <v>3.3051177430198656E-2</v>
      </c>
      <c r="E27" s="3"/>
    </row>
    <row r="28" spans="1:5" ht="15.75" customHeight="1" x14ac:dyDescent="0.3">
      <c r="C28" s="45">
        <v>791.45</v>
      </c>
      <c r="D28" s="38">
        <f t="shared" si="0"/>
        <v>-9.115709794661718E-3</v>
      </c>
      <c r="E28" s="3"/>
    </row>
    <row r="29" spans="1:5" ht="15.75" customHeight="1" x14ac:dyDescent="0.3">
      <c r="C29" s="45">
        <v>795.33</v>
      </c>
      <c r="D29" s="38">
        <f t="shared" si="0"/>
        <v>-4.258004259256187E-3</v>
      </c>
      <c r="E29" s="3"/>
    </row>
    <row r="30" spans="1:5" ht="15.75" customHeight="1" x14ac:dyDescent="0.3">
      <c r="C30" s="45">
        <v>788.6</v>
      </c>
      <c r="D30" s="38">
        <f t="shared" si="0"/>
        <v>-1.2683869788451896E-2</v>
      </c>
      <c r="E30" s="3"/>
    </row>
    <row r="31" spans="1:5" ht="15.75" customHeight="1" x14ac:dyDescent="0.3">
      <c r="C31" s="45">
        <v>802.33</v>
      </c>
      <c r="D31" s="38">
        <f t="shared" si="0"/>
        <v>4.5058974798775136E-3</v>
      </c>
      <c r="E31" s="3"/>
    </row>
    <row r="32" spans="1:5" ht="15.75" customHeight="1" x14ac:dyDescent="0.3">
      <c r="C32" s="45">
        <v>803.81</v>
      </c>
      <c r="D32" s="38">
        <f t="shared" si="0"/>
        <v>6.3588367047228049E-3</v>
      </c>
      <c r="E32" s="3"/>
    </row>
    <row r="33" spans="1:7" ht="15.75" customHeight="1" x14ac:dyDescent="0.3">
      <c r="C33" s="45">
        <v>797.43</v>
      </c>
      <c r="D33" s="38">
        <f t="shared" si="0"/>
        <v>-1.6288337375161908E-3</v>
      </c>
      <c r="E33" s="3"/>
    </row>
    <row r="34" spans="1:7" ht="15.75" customHeight="1" x14ac:dyDescent="0.3">
      <c r="C34" s="45">
        <v>789.21</v>
      </c>
      <c r="D34" s="38">
        <f t="shared" si="0"/>
        <v>-1.1920158351184514E-2</v>
      </c>
      <c r="E34" s="3"/>
    </row>
    <row r="35" spans="1:7" ht="15.75" customHeight="1" x14ac:dyDescent="0.3">
      <c r="C35" s="45">
        <v>790.21</v>
      </c>
      <c r="D35" s="38">
        <f t="shared" si="0"/>
        <v>-1.0668172388451129E-2</v>
      </c>
      <c r="E35" s="3"/>
    </row>
    <row r="36" spans="1:7" ht="15.75" customHeight="1" x14ac:dyDescent="0.3">
      <c r="C36" s="45">
        <v>782.25</v>
      </c>
      <c r="D36" s="38">
        <f t="shared" si="0"/>
        <v>-2.0633980651808926E-2</v>
      </c>
      <c r="E36" s="3"/>
    </row>
    <row r="37" spans="1:7" ht="15.75" customHeight="1" x14ac:dyDescent="0.3">
      <c r="C37" s="45">
        <v>808.77</v>
      </c>
      <c r="D37" s="38">
        <f t="shared" si="0"/>
        <v>1.2568687079880445E-2</v>
      </c>
      <c r="E37" s="3"/>
    </row>
    <row r="38" spans="1:7" ht="15.75" customHeight="1" x14ac:dyDescent="0.3">
      <c r="C38" s="45">
        <v>803.15</v>
      </c>
      <c r="D38" s="38">
        <f t="shared" si="0"/>
        <v>5.5325259693188101E-3</v>
      </c>
      <c r="E38" s="3"/>
    </row>
    <row r="39" spans="1:7" ht="15.75" customHeight="1" x14ac:dyDescent="0.3">
      <c r="C39" s="45">
        <v>788.07</v>
      </c>
      <c r="D39" s="38">
        <f t="shared" si="0"/>
        <v>-1.3347422348700557E-2</v>
      </c>
      <c r="E39" s="3"/>
    </row>
    <row r="40" spans="1:7" ht="15.75" customHeight="1" x14ac:dyDescent="0.3">
      <c r="C40" s="45">
        <v>797.81</v>
      </c>
      <c r="D40" s="38">
        <f t="shared" si="0"/>
        <v>-1.1530790716775098E-3</v>
      </c>
      <c r="E40" s="3"/>
    </row>
    <row r="41" spans="1:7" ht="15.75" customHeight="1" x14ac:dyDescent="0.3">
      <c r="C41" s="45">
        <v>816.59</v>
      </c>
      <c r="D41" s="38">
        <f t="shared" si="0"/>
        <v>2.2359217308455585E-2</v>
      </c>
      <c r="E41" s="3"/>
    </row>
    <row r="42" spans="1:7" ht="15.75" customHeight="1" x14ac:dyDescent="0.3">
      <c r="C42" s="45">
        <v>792.49</v>
      </c>
      <c r="D42" s="38">
        <f t="shared" si="0"/>
        <v>-7.8136443934190437E-3</v>
      </c>
      <c r="E42" s="3"/>
    </row>
    <row r="43" spans="1:7" ht="16.5" customHeight="1" x14ac:dyDescent="0.3">
      <c r="C43" s="46">
        <v>798.01</v>
      </c>
      <c r="D43" s="39">
        <f t="shared" si="0"/>
        <v>-9.0268187913077579E-4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15974.619999999999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798.73099999999999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5">
        <f>C46</f>
        <v>798.73099999999999</v>
      </c>
      <c r="C49" s="43">
        <f>-IF(C46&lt;=80,10%,IF(C46&lt;250,7.5%,5%))</f>
        <v>-0.05</v>
      </c>
      <c r="D49" s="31">
        <f>IF(C46&lt;=80,C46*0.9,IF(C46&lt;250,C46*0.925,C46*0.95))</f>
        <v>758.79444999999998</v>
      </c>
    </row>
    <row r="50" spans="1:6" ht="17.25" customHeight="1" x14ac:dyDescent="0.3">
      <c r="B50" s="296"/>
      <c r="C50" s="44">
        <f>IF(C46&lt;=80, 10%, IF(C46&lt;250, 7.5%, 5%))</f>
        <v>0.05</v>
      </c>
      <c r="D50" s="31">
        <f>IF(C46&lt;=80, C46*1.1, IF(C46&lt;250, C46*1.075, C46*1.05))</f>
        <v>838.66755000000001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(2)</vt:lpstr>
      <vt:lpstr>Nevirapine (2)</vt:lpstr>
      <vt:lpstr>Uniformity</vt:lpstr>
      <vt:lpstr>'Nevirapine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2016-07-20T15:27:15Z</cp:lastPrinted>
  <dcterms:created xsi:type="dcterms:W3CDTF">2005-07-05T10:19:27Z</dcterms:created>
  <dcterms:modified xsi:type="dcterms:W3CDTF">2016-07-20T15:30:07Z</dcterms:modified>
</cp:coreProperties>
</file>