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1"/>
  </bookViews>
  <sheets>
    <sheet name="SST (2)" sheetId="5" r:id="rId1"/>
    <sheet name="Nevirapine" sheetId="4" r:id="rId2"/>
    <sheet name="Uniformity" sheetId="2" r:id="rId3"/>
  </sheets>
  <externalReferences>
    <externalReference r:id="rId4"/>
  </externalReferences>
  <definedNames>
    <definedName name="_xlnm.Print_Area" localSheetId="1">Nevirapine!$A$1:$H$124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42" i="5" l="1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21" i="5"/>
  <c r="C120" i="4"/>
  <c r="B116" i="4"/>
  <c r="D100" i="4" s="1"/>
  <c r="D101" i="4" s="1"/>
  <c r="B98" i="4"/>
  <c r="F95" i="4"/>
  <c r="D95" i="4"/>
  <c r="G94" i="4"/>
  <c r="E94" i="4"/>
  <c r="B87" i="4"/>
  <c r="F97" i="4" s="1"/>
  <c r="B81" i="4"/>
  <c r="B83" i="4" s="1"/>
  <c r="B80" i="4"/>
  <c r="B79" i="4"/>
  <c r="C76" i="4"/>
  <c r="H71" i="4"/>
  <c r="G71" i="4"/>
  <c r="B68" i="4"/>
  <c r="H67" i="4"/>
  <c r="G67" i="4"/>
  <c r="H63" i="4"/>
  <c r="G63" i="4"/>
  <c r="B57" i="4"/>
  <c r="B69" i="4" s="1"/>
  <c r="C56" i="4"/>
  <c r="B55" i="4"/>
  <c r="B45" i="4"/>
  <c r="D48" i="4" s="1"/>
  <c r="F42" i="4"/>
  <c r="I39" i="4" s="1"/>
  <c r="D42" i="4"/>
  <c r="G41" i="4"/>
  <c r="E41" i="4"/>
  <c r="B34" i="4"/>
  <c r="D44" i="4" s="1"/>
  <c r="D45" i="4" s="1"/>
  <c r="D46" i="4" s="1"/>
  <c r="B30" i="4"/>
  <c r="I92" i="4" l="1"/>
  <c r="D102" i="4"/>
  <c r="F98" i="4"/>
  <c r="F99" i="4" s="1"/>
  <c r="D49" i="4"/>
  <c r="E40" i="4"/>
  <c r="E38" i="4"/>
  <c r="E39" i="4"/>
  <c r="F44" i="4"/>
  <c r="F45" i="4" s="1"/>
  <c r="F46" i="4" s="1"/>
  <c r="D97" i="4"/>
  <c r="D98" i="4" s="1"/>
  <c r="D99" i="4" s="1"/>
  <c r="E92" i="4" l="1"/>
  <c r="E93" i="4"/>
  <c r="E42" i="4"/>
  <c r="G38" i="4"/>
  <c r="G42" i="4" s="1"/>
  <c r="G92" i="4"/>
  <c r="G40" i="4"/>
  <c r="E91" i="4"/>
  <c r="G93" i="4"/>
  <c r="G39" i="4"/>
  <c r="G91" i="4"/>
  <c r="E95" i="4" l="1"/>
  <c r="D105" i="4"/>
  <c r="D103" i="4"/>
  <c r="D50" i="4"/>
  <c r="G95" i="4"/>
  <c r="D52" i="4"/>
  <c r="G68" i="4" l="1"/>
  <c r="H68" i="4" s="1"/>
  <c r="G69" i="4"/>
  <c r="H69" i="4" s="1"/>
  <c r="G66" i="4"/>
  <c r="H66" i="4" s="1"/>
  <c r="G64" i="4"/>
  <c r="H64" i="4" s="1"/>
  <c r="G62" i="4"/>
  <c r="H62" i="4" s="1"/>
  <c r="G60" i="4"/>
  <c r="D51" i="4"/>
  <c r="G70" i="4"/>
  <c r="H70" i="4" s="1"/>
  <c r="G65" i="4"/>
  <c r="H65" i="4" s="1"/>
  <c r="G61" i="4"/>
  <c r="H61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H60" i="4" l="1"/>
  <c r="G74" i="4"/>
  <c r="G72" i="4"/>
  <c r="G73" i="4" s="1"/>
  <c r="E115" i="4"/>
  <c r="E116" i="4" s="1"/>
  <c r="E117" i="4"/>
  <c r="F108" i="4"/>
  <c r="F117" i="4" l="1"/>
  <c r="F115" i="4"/>
  <c r="H74" i="4"/>
  <c r="H72" i="4"/>
  <c r="G76" i="4" l="1"/>
  <c r="H73" i="4"/>
  <c r="G120" i="4"/>
  <c r="F116" i="4"/>
  <c r="C46" i="2" l="1"/>
  <c r="D50" i="2" s="1"/>
  <c r="C45" i="2"/>
  <c r="D36" i="2"/>
  <c r="C19" i="2"/>
  <c r="D28" i="2" l="1"/>
  <c r="D39" i="2"/>
  <c r="D32" i="2"/>
  <c r="D40" i="2"/>
  <c r="C49" i="2"/>
  <c r="D31" i="2"/>
  <c r="D24" i="2"/>
  <c r="D27" i="2"/>
  <c r="D35" i="2"/>
  <c r="D43" i="2"/>
  <c r="D49" i="2"/>
  <c r="D25" i="2"/>
  <c r="D29" i="2"/>
  <c r="D33" i="2"/>
  <c r="D37" i="2"/>
  <c r="D41" i="2"/>
  <c r="C50" i="2"/>
  <c r="D26" i="2"/>
  <c r="D30" i="2"/>
  <c r="D34" i="2"/>
  <c r="D38" i="2"/>
  <c r="D42" i="2"/>
  <c r="B49" i="2"/>
</calcChain>
</file>

<file path=xl/sharedStrings.xml><?xml version="1.0" encoding="utf-8"?>
<sst xmlns="http://schemas.openxmlformats.org/spreadsheetml/2006/main" count="233" uniqueCount="130">
  <si>
    <t>HPLC System Suitability Report</t>
  </si>
  <si>
    <t>Analysis Data</t>
  </si>
  <si>
    <t>Assay</t>
  </si>
  <si>
    <t>Sample(s)</t>
  </si>
  <si>
    <t>Reference Substance:</t>
  </si>
  <si>
    <t xml:space="preserve">NEVIRAPINE TABLETS USP 200MG </t>
  </si>
  <si>
    <t>% age Purity:</t>
  </si>
  <si>
    <t>NDQB2016061182</t>
  </si>
  <si>
    <t>Weight (mg):</t>
  </si>
  <si>
    <t>Nevirapine USP</t>
  </si>
  <si>
    <t>Standard Conc (mg/mL):</t>
  </si>
  <si>
    <t>Each tablet contains: 200 mg of Nevirapine USP.</t>
  </si>
  <si>
    <t>2016-06-20 10:28:14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</si>
  <si>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</si>
  <si>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</si>
  <si>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</si>
  <si>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</si>
  <si>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</si>
  <si>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</si>
  <si>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</si>
  <si>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</si>
  <si>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</si>
  <si>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</si>
  <si>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</si>
  <si>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</si>
  <si>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</si>
  <si>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</si>
  <si>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</si>
  <si>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</si>
  <si>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</si>
  <si>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</si>
  <si>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</si>
  <si>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</si>
  <si>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</si>
  <si>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</si>
  <si>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</si>
  <si>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</si>
  <si>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</si>
  <si>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</si>
  <si>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</si>
  <si>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</si>
  <si>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</si>
  <si>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</si>
  <si>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</si>
  <si>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</si>
  <si>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</si>
  <si>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</si>
  <si>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</si>
  <si>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</si>
  <si>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</si>
  <si>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</si>
  <si>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</si>
  <si>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</si>
  <si>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</si>
  <si>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</si>
  <si>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</si>
  <si>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</si>
  <si>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</si>
  <si>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</si>
  <si>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</si>
  <si>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</si>
  <si>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</si>
  <si>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</si>
  <si>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</si>
  <si>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</si>
  <si>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</si>
  <si>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</si>
  <si>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</si>
  <si>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</si>
  <si>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</si>
  <si>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</si>
  <si>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</si>
  <si>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</si>
  <si>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</si>
  <si>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</si>
  <si>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</si>
  <si>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</si>
  <si>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</si>
  <si>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</si>
  <si>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</si>
  <si>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</si>
  <si>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</si>
  <si>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</si>
  <si>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</si>
  <si>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</si>
  <si>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</si>
  <si>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</si>
  <si>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</si>
  <si>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</si>
  <si>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</si>
  <si>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</si>
  <si>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</si>
  <si>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</si>
  <si>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</si>
  <si>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</si>
  <si>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</si>
  <si>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</si>
  <si>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</si>
  <si>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</si>
  <si>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</si>
  <si>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</si>
  <si>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</si>
  <si>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</si>
  <si>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</si>
  <si>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</si>
  <si>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</si>
  <si>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</si>
  <si>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</si>
  <si>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</si>
  <si>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</si>
  <si>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</si>
  <si>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</si>
  <si>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</si>
  <si>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</si>
  <si>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</si>
  <si>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</si>
  <si>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</si>
  <si>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</si>
  <si>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</si>
  <si>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</si>
  <si>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</si>
  <si>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</si>
  <si>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</si>
  <si>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</si>
  <si>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</si>
  <si>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NDQB2016061155</t>
  </si>
  <si>
    <t>NEVIRAPINE</t>
  </si>
  <si>
    <t>N1-4</t>
  </si>
  <si>
    <t>NDQB2016061154</t>
  </si>
  <si>
    <t>2016-06-09 11:05:09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</si>
</sst>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02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1" fillId="2" borderId="0" xfId="1" applyFont="1" applyFill="1"/>
    <xf numFmtId="0" fontId="24" fillId="2" borderId="0" xfId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1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0" xfId="1" applyFont="1" applyFill="1" applyAlignment="1">
      <alignment horizontal="center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</cellXfs>
  <cellStyles count="2">
    <cellStyle name="Normal" xfId="0" builtinId="0"/>
    <cellStyle name="Normal 2" xfId="1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NDQB201606115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virapine (2)"/>
      <sheetName val="SST (2)"/>
      <sheetName val="Uniformity"/>
    </sheetNames>
    <sheetDataSet>
      <sheetData sheetId="0" refreshError="1"/>
      <sheetData sheetId="1" refreshError="1"/>
      <sheetData sheetId="2">
        <row r="46">
          <cell r="C46">
            <v>796.53750000000002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E51" sqref="E51"/>
    </sheetView>
  </sheetViews>
  <sheetFormatPr defaultRowHeight="13.5" x14ac:dyDescent="0.25"/>
  <cols>
    <col min="1" max="1" width="27.5703125" style="48" customWidth="1"/>
    <col min="2" max="2" width="20.42578125" style="48" customWidth="1"/>
    <col min="3" max="3" width="31.85546875" style="48" customWidth="1"/>
    <col min="4" max="4" width="25.85546875" style="48" customWidth="1"/>
    <col min="5" max="5" width="25.7109375" style="48" customWidth="1"/>
    <col min="6" max="6" width="23.140625" style="48" customWidth="1"/>
    <col min="7" max="7" width="28.42578125" style="48" customWidth="1"/>
    <col min="8" max="8" width="21.5703125" style="48" customWidth="1"/>
    <col min="9" max="9" width="9.140625" style="48" customWidth="1"/>
    <col min="10" max="16384" width="9.140625" style="50"/>
  </cols>
  <sheetData>
    <row r="14" spans="1:6" ht="15" customHeight="1" x14ac:dyDescent="0.3">
      <c r="A14" s="213"/>
      <c r="C14" s="214"/>
      <c r="F14" s="214"/>
    </row>
    <row r="15" spans="1:6" ht="18.75" customHeight="1" x14ac:dyDescent="0.3">
      <c r="A15" s="253" t="s">
        <v>0</v>
      </c>
      <c r="B15" s="253"/>
      <c r="C15" s="253"/>
      <c r="D15" s="253"/>
      <c r="E15" s="253"/>
    </row>
    <row r="16" spans="1:6" ht="16.5" customHeight="1" x14ac:dyDescent="0.3">
      <c r="A16" s="215" t="s">
        <v>1</v>
      </c>
      <c r="B16" s="216" t="s">
        <v>2</v>
      </c>
    </row>
    <row r="17" spans="1:5" ht="16.5" customHeight="1" x14ac:dyDescent="0.3">
      <c r="A17" s="217" t="s">
        <v>3</v>
      </c>
      <c r="B17" s="217" t="s">
        <v>5</v>
      </c>
      <c r="D17" s="218"/>
      <c r="E17" s="219"/>
    </row>
    <row r="18" spans="1:5" ht="16.5" customHeight="1" x14ac:dyDescent="0.3">
      <c r="A18" s="220" t="s">
        <v>4</v>
      </c>
      <c r="B18" s="221" t="s">
        <v>128</v>
      </c>
      <c r="C18" s="219"/>
      <c r="D18" s="219"/>
      <c r="E18" s="219"/>
    </row>
    <row r="19" spans="1:5" ht="16.5" customHeight="1" x14ac:dyDescent="0.3">
      <c r="A19" s="220" t="s">
        <v>6</v>
      </c>
      <c r="B19" s="48">
        <v>98.8</v>
      </c>
      <c r="C19" s="219"/>
      <c r="D19" s="219"/>
      <c r="E19" s="219"/>
    </row>
    <row r="20" spans="1:5" ht="16.5" customHeight="1" x14ac:dyDescent="0.3">
      <c r="A20" s="217" t="s">
        <v>8</v>
      </c>
      <c r="B20" s="221">
        <v>17.28</v>
      </c>
      <c r="C20" s="219"/>
      <c r="D20" s="219"/>
      <c r="E20" s="219"/>
    </row>
    <row r="21" spans="1:5" ht="16.5" customHeight="1" x14ac:dyDescent="0.3">
      <c r="A21" s="217" t="s">
        <v>10</v>
      </c>
      <c r="B21" s="222">
        <f>B20/50*3/50</f>
        <v>2.0735999999999997E-2</v>
      </c>
      <c r="C21" s="219"/>
      <c r="D21" s="219"/>
      <c r="E21" s="219"/>
    </row>
    <row r="22" spans="1:5" ht="15.75" customHeight="1" x14ac:dyDescent="0.25">
      <c r="A22" s="219"/>
      <c r="B22" s="219" t="s">
        <v>129</v>
      </c>
      <c r="C22" s="219"/>
      <c r="D22" s="219"/>
      <c r="E22" s="219"/>
    </row>
    <row r="23" spans="1:5" ht="16.5" customHeight="1" x14ac:dyDescent="0.3">
      <c r="A23" s="64" t="s">
        <v>13</v>
      </c>
      <c r="B23" s="223" t="s">
        <v>14</v>
      </c>
      <c r="C23" s="64" t="s">
        <v>15</v>
      </c>
      <c r="D23" s="64" t="s">
        <v>16</v>
      </c>
      <c r="E23" s="64" t="s">
        <v>17</v>
      </c>
    </row>
    <row r="24" spans="1:5" ht="16.5" customHeight="1" x14ac:dyDescent="0.3">
      <c r="A24" s="224">
        <v>1</v>
      </c>
      <c r="B24" s="225">
        <v>304835723</v>
      </c>
      <c r="C24" s="225">
        <v>5553.89</v>
      </c>
      <c r="D24" s="226">
        <v>1.01</v>
      </c>
      <c r="E24" s="227">
        <v>8.43</v>
      </c>
    </row>
    <row r="25" spans="1:5" ht="16.5" customHeight="1" x14ac:dyDescent="0.3">
      <c r="A25" s="224">
        <v>2</v>
      </c>
      <c r="B25" s="225">
        <v>307683796</v>
      </c>
      <c r="C25" s="225">
        <v>5515.43</v>
      </c>
      <c r="D25" s="226">
        <v>1.02</v>
      </c>
      <c r="E25" s="226">
        <v>8.43</v>
      </c>
    </row>
    <row r="26" spans="1:5" ht="16.5" customHeight="1" x14ac:dyDescent="0.3">
      <c r="A26" s="224">
        <v>3</v>
      </c>
      <c r="B26" s="225">
        <v>307124602</v>
      </c>
      <c r="C26" s="225">
        <v>5497.34</v>
      </c>
      <c r="D26" s="226">
        <v>1.02</v>
      </c>
      <c r="E26" s="226">
        <v>8.43</v>
      </c>
    </row>
    <row r="27" spans="1:5" ht="16.5" customHeight="1" x14ac:dyDescent="0.3">
      <c r="A27" s="224">
        <v>4</v>
      </c>
      <c r="B27" s="225">
        <v>308078838</v>
      </c>
      <c r="C27" s="225">
        <v>5447.13</v>
      </c>
      <c r="D27" s="226">
        <v>1.02</v>
      </c>
      <c r="E27" s="226">
        <v>8.43</v>
      </c>
    </row>
    <row r="28" spans="1:5" ht="16.5" customHeight="1" x14ac:dyDescent="0.3">
      <c r="A28" s="224">
        <v>5</v>
      </c>
      <c r="B28" s="225">
        <v>305968606</v>
      </c>
      <c r="C28" s="225">
        <v>5440.37</v>
      </c>
      <c r="D28" s="226">
        <v>1.01</v>
      </c>
      <c r="E28" s="226">
        <v>8.43</v>
      </c>
    </row>
    <row r="29" spans="1:5" ht="16.5" customHeight="1" x14ac:dyDescent="0.3">
      <c r="A29" s="224">
        <v>6</v>
      </c>
      <c r="B29" s="228">
        <v>305534025</v>
      </c>
      <c r="C29" s="228">
        <v>5406.43</v>
      </c>
      <c r="D29" s="229">
        <v>1.01</v>
      </c>
      <c r="E29" s="229">
        <v>8.43</v>
      </c>
    </row>
    <row r="30" spans="1:5" ht="16.5" customHeight="1" x14ac:dyDescent="0.3">
      <c r="A30" s="230" t="s">
        <v>18</v>
      </c>
      <c r="B30" s="231">
        <f>AVERAGE(B24:B29)</f>
        <v>306537598.33333331</v>
      </c>
      <c r="C30" s="232">
        <f>AVERAGE(C24:C29)</f>
        <v>5476.7649999999994</v>
      </c>
      <c r="D30" s="233">
        <f>AVERAGE(D24:D29)</f>
        <v>1.0149999999999999</v>
      </c>
      <c r="E30" s="233">
        <f>AVERAGE(E24:E29)</f>
        <v>8.43</v>
      </c>
    </row>
    <row r="31" spans="1:5" ht="16.5" customHeight="1" x14ac:dyDescent="0.3">
      <c r="A31" s="234" t="s">
        <v>19</v>
      </c>
      <c r="B31" s="235">
        <f>(STDEV(B24:B29)/B30)</f>
        <v>4.1932326998159368E-3</v>
      </c>
      <c r="C31" s="236"/>
      <c r="D31" s="236"/>
      <c r="E31" s="237"/>
    </row>
    <row r="32" spans="1:5" s="48" customFormat="1" ht="16.5" customHeight="1" x14ac:dyDescent="0.3">
      <c r="A32" s="238" t="s">
        <v>20</v>
      </c>
      <c r="B32" s="239">
        <f>COUNT(B24:B29)</f>
        <v>6</v>
      </c>
      <c r="C32" s="240"/>
      <c r="D32" s="241"/>
      <c r="E32" s="242"/>
    </row>
    <row r="33" spans="1:5" s="48" customFormat="1" ht="15.75" customHeight="1" x14ac:dyDescent="0.25">
      <c r="A33" s="219"/>
      <c r="B33" s="219"/>
      <c r="C33" s="219"/>
      <c r="D33" s="219"/>
      <c r="E33" s="219"/>
    </row>
    <row r="34" spans="1:5" s="48" customFormat="1" ht="16.5" customHeight="1" x14ac:dyDescent="0.3">
      <c r="A34" s="220" t="s">
        <v>21</v>
      </c>
      <c r="B34" s="243" t="s">
        <v>22</v>
      </c>
      <c r="C34" s="244"/>
      <c r="D34" s="244"/>
      <c r="E34" s="244"/>
    </row>
    <row r="35" spans="1:5" ht="16.5" customHeight="1" x14ac:dyDescent="0.3">
      <c r="A35" s="220"/>
      <c r="B35" s="243" t="s">
        <v>23</v>
      </c>
      <c r="C35" s="244"/>
      <c r="D35" s="244"/>
      <c r="E35" s="244"/>
    </row>
    <row r="36" spans="1:5" ht="16.5" customHeight="1" x14ac:dyDescent="0.3">
      <c r="A36" s="220"/>
      <c r="B36" s="243" t="s">
        <v>24</v>
      </c>
      <c r="C36" s="244"/>
      <c r="D36" s="244"/>
      <c r="E36" s="244"/>
    </row>
    <row r="37" spans="1:5" ht="15.75" customHeight="1" x14ac:dyDescent="0.25">
      <c r="A37" s="219"/>
      <c r="B37" s="219"/>
      <c r="C37" s="219"/>
      <c r="D37" s="219"/>
      <c r="E37" s="219"/>
    </row>
    <row r="38" spans="1:5" ht="16.5" customHeight="1" x14ac:dyDescent="0.3">
      <c r="A38" s="215" t="s">
        <v>1</v>
      </c>
      <c r="B38" s="216" t="s">
        <v>25</v>
      </c>
    </row>
    <row r="39" spans="1:5" ht="16.5" customHeight="1" x14ac:dyDescent="0.3">
      <c r="A39" s="220" t="s">
        <v>4</v>
      </c>
      <c r="B39" s="217" t="s">
        <v>128</v>
      </c>
      <c r="C39" s="219"/>
      <c r="D39" s="219"/>
      <c r="E39" s="219"/>
    </row>
    <row r="40" spans="1:5" ht="16.5" customHeight="1" x14ac:dyDescent="0.3">
      <c r="A40" s="220" t="s">
        <v>6</v>
      </c>
      <c r="B40" s="221">
        <v>98.8</v>
      </c>
      <c r="C40" s="219"/>
      <c r="D40" s="219"/>
      <c r="E40" s="219"/>
    </row>
    <row r="41" spans="1:5" ht="16.5" customHeight="1" x14ac:dyDescent="0.3">
      <c r="A41" s="217" t="s">
        <v>8</v>
      </c>
      <c r="B41" s="221">
        <v>24.01</v>
      </c>
      <c r="C41" s="219"/>
      <c r="D41" s="219"/>
      <c r="E41" s="219"/>
    </row>
    <row r="42" spans="1:5" ht="16.5" customHeight="1" x14ac:dyDescent="0.3">
      <c r="A42" s="217" t="s">
        <v>10</v>
      </c>
      <c r="B42" s="222">
        <f>B41/50*3/100</f>
        <v>1.4406E-2</v>
      </c>
      <c r="C42" s="219"/>
      <c r="D42" s="219"/>
      <c r="E42" s="219"/>
    </row>
    <row r="43" spans="1:5" ht="15.75" customHeight="1" x14ac:dyDescent="0.25">
      <c r="A43" s="219"/>
      <c r="B43" s="219"/>
      <c r="C43" s="219"/>
      <c r="D43" s="219"/>
      <c r="E43" s="219"/>
    </row>
    <row r="44" spans="1:5" ht="16.5" customHeight="1" x14ac:dyDescent="0.3">
      <c r="A44" s="64" t="s">
        <v>13</v>
      </c>
      <c r="B44" s="223" t="s">
        <v>14</v>
      </c>
      <c r="C44" s="64" t="s">
        <v>15</v>
      </c>
      <c r="D44" s="64" t="s">
        <v>16</v>
      </c>
      <c r="E44" s="64" t="s">
        <v>17</v>
      </c>
    </row>
    <row r="45" spans="1:5" ht="16.5" customHeight="1" x14ac:dyDescent="0.3">
      <c r="A45" s="224">
        <v>1</v>
      </c>
      <c r="B45" s="225">
        <v>147285746</v>
      </c>
      <c r="C45" s="225">
        <v>9906.44</v>
      </c>
      <c r="D45" s="226">
        <v>1.04</v>
      </c>
      <c r="E45" s="227">
        <v>16.37</v>
      </c>
    </row>
    <row r="46" spans="1:5" ht="16.5" customHeight="1" x14ac:dyDescent="0.3">
      <c r="A46" s="224">
        <v>2</v>
      </c>
      <c r="B46" s="225">
        <v>147742870</v>
      </c>
      <c r="C46" s="225">
        <v>9940.4699999999993</v>
      </c>
      <c r="D46" s="226">
        <v>1.03</v>
      </c>
      <c r="E46" s="226">
        <v>16.37</v>
      </c>
    </row>
    <row r="47" spans="1:5" ht="16.5" customHeight="1" x14ac:dyDescent="0.3">
      <c r="A47" s="224">
        <v>3</v>
      </c>
      <c r="B47" s="225">
        <v>147669031</v>
      </c>
      <c r="C47" s="225">
        <v>9972.4699999999993</v>
      </c>
      <c r="D47" s="226">
        <v>1.04</v>
      </c>
      <c r="E47" s="226">
        <v>16.37</v>
      </c>
    </row>
    <row r="48" spans="1:5" ht="16.5" customHeight="1" x14ac:dyDescent="0.3">
      <c r="A48" s="224">
        <v>4</v>
      </c>
      <c r="B48" s="225">
        <v>147769246</v>
      </c>
      <c r="C48" s="225">
        <v>9925.8700000000008</v>
      </c>
      <c r="D48" s="226">
        <v>1.04</v>
      </c>
      <c r="E48" s="226">
        <v>16.37</v>
      </c>
    </row>
    <row r="49" spans="1:7" ht="16.5" customHeight="1" x14ac:dyDescent="0.3">
      <c r="A49" s="224">
        <v>5</v>
      </c>
      <c r="B49" s="225">
        <v>147849904</v>
      </c>
      <c r="C49" s="225">
        <v>9997.75</v>
      </c>
      <c r="D49" s="226">
        <v>1.04</v>
      </c>
      <c r="E49" s="226">
        <v>16.37</v>
      </c>
    </row>
    <row r="50" spans="1:7" ht="16.5" customHeight="1" x14ac:dyDescent="0.3">
      <c r="A50" s="224">
        <v>6</v>
      </c>
      <c r="B50" s="228">
        <v>148693864</v>
      </c>
      <c r="C50" s="228">
        <v>9951.1</v>
      </c>
      <c r="D50" s="229">
        <v>1.04</v>
      </c>
      <c r="E50" s="229">
        <v>16.37</v>
      </c>
    </row>
    <row r="51" spans="1:7" ht="16.5" customHeight="1" x14ac:dyDescent="0.3">
      <c r="A51" s="230" t="s">
        <v>18</v>
      </c>
      <c r="B51" s="231">
        <f>AVERAGE(B45:B50)</f>
        <v>147835110.16666666</v>
      </c>
      <c r="C51" s="232">
        <f>AVERAGE(C45:C50)</f>
        <v>9949.0166666666664</v>
      </c>
      <c r="D51" s="233">
        <f>AVERAGE(D45:D50)</f>
        <v>1.0383333333333333</v>
      </c>
      <c r="E51" s="233">
        <f>AVERAGE(E45:E50)</f>
        <v>16.37</v>
      </c>
    </row>
    <row r="52" spans="1:7" ht="16.5" customHeight="1" x14ac:dyDescent="0.3">
      <c r="A52" s="234" t="s">
        <v>19</v>
      </c>
      <c r="B52" s="235">
        <f>(STDEV(B45:B50)/B51)</f>
        <v>3.1436233783236002E-3</v>
      </c>
      <c r="C52" s="236"/>
      <c r="D52" s="236"/>
      <c r="E52" s="237"/>
    </row>
    <row r="53" spans="1:7" s="48" customFormat="1" ht="16.5" customHeight="1" x14ac:dyDescent="0.3">
      <c r="A53" s="238" t="s">
        <v>20</v>
      </c>
      <c r="B53" s="239">
        <f>COUNT(B45:B50)</f>
        <v>6</v>
      </c>
      <c r="C53" s="240"/>
      <c r="D53" s="241"/>
      <c r="E53" s="242"/>
    </row>
    <row r="54" spans="1:7" s="48" customFormat="1" ht="15.75" customHeight="1" x14ac:dyDescent="0.25">
      <c r="A54" s="219"/>
      <c r="B54" s="219"/>
      <c r="C54" s="219"/>
      <c r="D54" s="219"/>
      <c r="E54" s="219"/>
    </row>
    <row r="55" spans="1:7" s="48" customFormat="1" ht="16.5" customHeight="1" x14ac:dyDescent="0.3">
      <c r="A55" s="220" t="s">
        <v>21</v>
      </c>
      <c r="B55" s="243" t="s">
        <v>22</v>
      </c>
      <c r="C55" s="244"/>
      <c r="D55" s="244"/>
      <c r="E55" s="244"/>
    </row>
    <row r="56" spans="1:7" ht="16.5" customHeight="1" x14ac:dyDescent="0.3">
      <c r="A56" s="220"/>
      <c r="B56" s="243" t="s">
        <v>23</v>
      </c>
      <c r="C56" s="244"/>
      <c r="D56" s="244"/>
      <c r="E56" s="244"/>
    </row>
    <row r="57" spans="1:7" ht="16.5" customHeight="1" x14ac:dyDescent="0.3">
      <c r="A57" s="220"/>
      <c r="B57" s="243" t="s">
        <v>24</v>
      </c>
      <c r="C57" s="244"/>
      <c r="D57" s="244"/>
      <c r="E57" s="244"/>
    </row>
    <row r="58" spans="1:7" ht="14.25" customHeight="1" thickBot="1" x14ac:dyDescent="0.3">
      <c r="A58" s="245"/>
      <c r="B58" s="102"/>
      <c r="D58" s="246"/>
      <c r="F58" s="50"/>
      <c r="G58" s="50"/>
    </row>
    <row r="59" spans="1:7" ht="15" customHeight="1" x14ac:dyDescent="0.3">
      <c r="B59" s="254" t="s">
        <v>26</v>
      </c>
      <c r="C59" s="254"/>
      <c r="E59" s="247" t="s">
        <v>27</v>
      </c>
      <c r="F59" s="248"/>
      <c r="G59" s="247" t="s">
        <v>28</v>
      </c>
    </row>
    <row r="60" spans="1:7" ht="15" customHeight="1" x14ac:dyDescent="0.3">
      <c r="A60" s="249" t="s">
        <v>29</v>
      </c>
      <c r="B60" s="250"/>
      <c r="C60" s="250"/>
      <c r="E60" s="250"/>
      <c r="G60" s="250"/>
    </row>
    <row r="61" spans="1:7" ht="15" customHeight="1" x14ac:dyDescent="0.3">
      <c r="A61" s="249" t="s">
        <v>30</v>
      </c>
      <c r="B61" s="251"/>
      <c r="C61" s="251"/>
      <c r="E61" s="251"/>
      <c r="G61" s="25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1" zoomScale="10" zoomScaleNormal="40" zoomScaleSheetLayoutView="10" zoomScalePageLayoutView="41" workbookViewId="0">
      <selection activeCell="A82" sqref="A82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258" t="s">
        <v>45</v>
      </c>
      <c r="B1" s="258"/>
      <c r="C1" s="258"/>
      <c r="D1" s="258"/>
      <c r="E1" s="258"/>
      <c r="F1" s="258"/>
      <c r="G1" s="258"/>
      <c r="H1" s="258"/>
      <c r="I1" s="258"/>
    </row>
    <row r="2" spans="1:9" ht="18.75" customHeight="1" x14ac:dyDescent="0.25">
      <c r="A2" s="258"/>
      <c r="B2" s="258"/>
      <c r="C2" s="258"/>
      <c r="D2" s="258"/>
      <c r="E2" s="258"/>
      <c r="F2" s="258"/>
      <c r="G2" s="258"/>
      <c r="H2" s="258"/>
      <c r="I2" s="258"/>
    </row>
    <row r="3" spans="1:9" ht="18.75" customHeight="1" x14ac:dyDescent="0.25">
      <c r="A3" s="258"/>
      <c r="B3" s="258"/>
      <c r="C3" s="258"/>
      <c r="D3" s="258"/>
      <c r="E3" s="258"/>
      <c r="F3" s="258"/>
      <c r="G3" s="258"/>
      <c r="H3" s="258"/>
      <c r="I3" s="258"/>
    </row>
    <row r="4" spans="1:9" ht="18.75" customHeight="1" x14ac:dyDescent="0.25">
      <c r="A4" s="258"/>
      <c r="B4" s="258"/>
      <c r="C4" s="258"/>
      <c r="D4" s="258"/>
      <c r="E4" s="258"/>
      <c r="F4" s="258"/>
      <c r="G4" s="258"/>
      <c r="H4" s="258"/>
      <c r="I4" s="258"/>
    </row>
    <row r="5" spans="1:9" ht="18.75" customHeight="1" x14ac:dyDescent="0.25">
      <c r="A5" s="258"/>
      <c r="B5" s="258"/>
      <c r="C5" s="258"/>
      <c r="D5" s="258"/>
      <c r="E5" s="258"/>
      <c r="F5" s="258"/>
      <c r="G5" s="258"/>
      <c r="H5" s="258"/>
      <c r="I5" s="258"/>
    </row>
    <row r="6" spans="1:9" ht="18.75" customHeight="1" x14ac:dyDescent="0.25">
      <c r="A6" s="258"/>
      <c r="B6" s="258"/>
      <c r="C6" s="258"/>
      <c r="D6" s="258"/>
      <c r="E6" s="258"/>
      <c r="F6" s="258"/>
      <c r="G6" s="258"/>
      <c r="H6" s="258"/>
      <c r="I6" s="258"/>
    </row>
    <row r="7" spans="1:9" ht="18.75" customHeight="1" x14ac:dyDescent="0.25">
      <c r="A7" s="258"/>
      <c r="B7" s="258"/>
      <c r="C7" s="258"/>
      <c r="D7" s="258"/>
      <c r="E7" s="258"/>
      <c r="F7" s="258"/>
      <c r="G7" s="258"/>
      <c r="H7" s="258"/>
      <c r="I7" s="258"/>
    </row>
    <row r="8" spans="1:9" x14ac:dyDescent="0.25">
      <c r="A8" s="259" t="s">
        <v>46</v>
      </c>
      <c r="B8" s="259"/>
      <c r="C8" s="259"/>
      <c r="D8" s="259"/>
      <c r="E8" s="259"/>
      <c r="F8" s="259"/>
      <c r="G8" s="259"/>
      <c r="H8" s="259"/>
      <c r="I8" s="259"/>
    </row>
    <row r="9" spans="1:9" x14ac:dyDescent="0.25">
      <c r="A9" s="259"/>
      <c r="B9" s="259"/>
      <c r="C9" s="259"/>
      <c r="D9" s="259"/>
      <c r="E9" s="259"/>
      <c r="F9" s="259"/>
      <c r="G9" s="259"/>
      <c r="H9" s="259"/>
      <c r="I9" s="259"/>
    </row>
    <row r="10" spans="1:9" x14ac:dyDescent="0.25">
      <c r="A10" s="259"/>
      <c r="B10" s="259"/>
      <c r="C10" s="259"/>
      <c r="D10" s="259"/>
      <c r="E10" s="259"/>
      <c r="F10" s="259"/>
      <c r="G10" s="259"/>
      <c r="H10" s="259"/>
      <c r="I10" s="259"/>
    </row>
    <row r="11" spans="1:9" x14ac:dyDescent="0.25">
      <c r="A11" s="259"/>
      <c r="B11" s="259"/>
      <c r="C11" s="259"/>
      <c r="D11" s="259"/>
      <c r="E11" s="259"/>
      <c r="F11" s="259"/>
      <c r="G11" s="259"/>
      <c r="H11" s="259"/>
      <c r="I11" s="259"/>
    </row>
    <row r="12" spans="1:9" x14ac:dyDescent="0.25">
      <c r="A12" s="259"/>
      <c r="B12" s="259"/>
      <c r="C12" s="259"/>
      <c r="D12" s="259"/>
      <c r="E12" s="259"/>
      <c r="F12" s="259"/>
      <c r="G12" s="259"/>
      <c r="H12" s="259"/>
      <c r="I12" s="259"/>
    </row>
    <row r="13" spans="1:9" x14ac:dyDescent="0.25">
      <c r="A13" s="259"/>
      <c r="B13" s="259"/>
      <c r="C13" s="259"/>
      <c r="D13" s="259"/>
      <c r="E13" s="259"/>
      <c r="F13" s="259"/>
      <c r="G13" s="259"/>
      <c r="H13" s="259"/>
      <c r="I13" s="259"/>
    </row>
    <row r="14" spans="1:9" x14ac:dyDescent="0.25">
      <c r="A14" s="259"/>
      <c r="B14" s="259"/>
      <c r="C14" s="259"/>
      <c r="D14" s="259"/>
      <c r="E14" s="259"/>
      <c r="F14" s="259"/>
      <c r="G14" s="259"/>
      <c r="H14" s="259"/>
      <c r="I14" s="259"/>
    </row>
    <row r="15" spans="1:9" ht="19.5" customHeight="1" thickBot="1" x14ac:dyDescent="0.35">
      <c r="A15" s="49"/>
    </row>
    <row r="16" spans="1:9" ht="19.5" customHeight="1" thickBot="1" x14ac:dyDescent="0.35">
      <c r="A16" s="260" t="s">
        <v>31</v>
      </c>
      <c r="B16" s="261"/>
      <c r="C16" s="261"/>
      <c r="D16" s="261"/>
      <c r="E16" s="261"/>
      <c r="F16" s="261"/>
      <c r="G16" s="261"/>
      <c r="H16" s="262"/>
    </row>
    <row r="17" spans="1:14" ht="20.25" customHeight="1" x14ac:dyDescent="0.25">
      <c r="A17" s="263" t="s">
        <v>47</v>
      </c>
      <c r="B17" s="263"/>
      <c r="C17" s="263"/>
      <c r="D17" s="263"/>
      <c r="E17" s="263"/>
      <c r="F17" s="263"/>
      <c r="G17" s="263"/>
      <c r="H17" s="263"/>
    </row>
    <row r="18" spans="1:14" ht="26.25" customHeight="1" x14ac:dyDescent="0.4">
      <c r="A18" s="51" t="s">
        <v>33</v>
      </c>
      <c r="B18" s="264" t="s">
        <v>5</v>
      </c>
      <c r="C18" s="264"/>
      <c r="D18" s="52"/>
      <c r="E18" s="53"/>
      <c r="F18" s="54"/>
      <c r="G18" s="54"/>
      <c r="H18" s="54"/>
    </row>
    <row r="19" spans="1:14" ht="26.25" customHeight="1" x14ac:dyDescent="0.4">
      <c r="A19" s="51" t="s">
        <v>34</v>
      </c>
      <c r="B19" s="55" t="s">
        <v>125</v>
      </c>
      <c r="C19" s="54">
        <v>29</v>
      </c>
      <c r="D19" s="54"/>
      <c r="E19" s="54"/>
      <c r="F19" s="54"/>
      <c r="G19" s="54"/>
      <c r="H19" s="54"/>
    </row>
    <row r="20" spans="1:14" ht="26.25" customHeight="1" x14ac:dyDescent="0.4">
      <c r="A20" s="51" t="s">
        <v>35</v>
      </c>
      <c r="B20" s="265" t="s">
        <v>9</v>
      </c>
      <c r="C20" s="265"/>
      <c r="D20" s="54"/>
      <c r="E20" s="54"/>
      <c r="F20" s="54"/>
      <c r="G20" s="54"/>
      <c r="H20" s="54"/>
    </row>
    <row r="21" spans="1:14" ht="26.25" customHeight="1" x14ac:dyDescent="0.4">
      <c r="A21" s="51" t="s">
        <v>36</v>
      </c>
      <c r="B21" s="265" t="s">
        <v>11</v>
      </c>
      <c r="C21" s="265"/>
      <c r="D21" s="265"/>
      <c r="E21" s="265"/>
      <c r="F21" s="265"/>
      <c r="G21" s="265"/>
      <c r="H21" s="265"/>
      <c r="I21" s="56"/>
    </row>
    <row r="22" spans="1:14" ht="26.25" customHeight="1" x14ac:dyDescent="0.4">
      <c r="A22" s="51" t="s">
        <v>37</v>
      </c>
      <c r="B22" s="57">
        <v>42552.461909722224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38</v>
      </c>
      <c r="B23" s="57">
        <v>42556</v>
      </c>
      <c r="C23" s="54"/>
      <c r="D23" s="54"/>
      <c r="E23" s="54"/>
      <c r="F23" s="54"/>
      <c r="G23" s="54"/>
      <c r="H23" s="54"/>
    </row>
    <row r="24" spans="1:14" ht="18.75" x14ac:dyDescent="0.3">
      <c r="A24" s="51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64" t="s">
        <v>126</v>
      </c>
      <c r="C26" s="264"/>
    </row>
    <row r="27" spans="1:14" ht="26.25" customHeight="1" x14ac:dyDescent="0.4">
      <c r="A27" s="61" t="s">
        <v>48</v>
      </c>
      <c r="B27" s="266" t="s">
        <v>127</v>
      </c>
      <c r="C27" s="266"/>
    </row>
    <row r="28" spans="1:14" ht="27" customHeight="1" thickBot="1" x14ac:dyDescent="0.45">
      <c r="A28" s="61" t="s">
        <v>6</v>
      </c>
      <c r="B28" s="62">
        <v>98.8</v>
      </c>
    </row>
    <row r="29" spans="1:14" s="64" customFormat="1" ht="27" customHeight="1" thickBot="1" x14ac:dyDescent="0.45">
      <c r="A29" s="61" t="s">
        <v>49</v>
      </c>
      <c r="B29" s="63">
        <v>0</v>
      </c>
      <c r="C29" s="267" t="s">
        <v>50</v>
      </c>
      <c r="D29" s="268"/>
      <c r="E29" s="268"/>
      <c r="F29" s="268"/>
      <c r="G29" s="269"/>
      <c r="I29" s="65"/>
      <c r="J29" s="65"/>
      <c r="K29" s="65"/>
      <c r="L29" s="65"/>
    </row>
    <row r="30" spans="1:14" s="64" customFormat="1" ht="19.5" customHeight="1" thickBot="1" x14ac:dyDescent="0.35">
      <c r="A30" s="61" t="s">
        <v>51</v>
      </c>
      <c r="B30" s="66">
        <f>B28-B29</f>
        <v>98.8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45">
      <c r="A31" s="61" t="s">
        <v>52</v>
      </c>
      <c r="B31" s="69">
        <v>1</v>
      </c>
      <c r="C31" s="255" t="s">
        <v>53</v>
      </c>
      <c r="D31" s="256"/>
      <c r="E31" s="256"/>
      <c r="F31" s="256"/>
      <c r="G31" s="256"/>
      <c r="H31" s="257"/>
      <c r="I31" s="65"/>
      <c r="J31" s="65"/>
      <c r="K31" s="65"/>
      <c r="L31" s="65"/>
    </row>
    <row r="32" spans="1:14" s="64" customFormat="1" ht="27" customHeight="1" thickBot="1" x14ac:dyDescent="0.45">
      <c r="A32" s="61" t="s">
        <v>54</v>
      </c>
      <c r="B32" s="69">
        <v>1</v>
      </c>
      <c r="C32" s="255" t="s">
        <v>55</v>
      </c>
      <c r="D32" s="256"/>
      <c r="E32" s="256"/>
      <c r="F32" s="256"/>
      <c r="G32" s="256"/>
      <c r="H32" s="257"/>
      <c r="I32" s="65"/>
      <c r="J32" s="65"/>
      <c r="K32" s="65"/>
      <c r="L32" s="70"/>
      <c r="M32" s="70"/>
      <c r="N32" s="71"/>
    </row>
    <row r="33" spans="1:14" s="64" customFormat="1" ht="17.25" customHeight="1" x14ac:dyDescent="0.3">
      <c r="A33" s="61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.75" x14ac:dyDescent="0.3">
      <c r="A34" s="61" t="s">
        <v>56</v>
      </c>
      <c r="B34" s="74">
        <f>B31/B32</f>
        <v>1</v>
      </c>
      <c r="C34" s="49" t="s">
        <v>57</v>
      </c>
      <c r="D34" s="49"/>
      <c r="E34" s="49"/>
      <c r="F34" s="49"/>
      <c r="G34" s="49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35">
      <c r="A35" s="61"/>
      <c r="B35" s="66"/>
      <c r="G35" s="49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45">
      <c r="A36" s="75" t="s">
        <v>58</v>
      </c>
      <c r="B36" s="76">
        <v>50</v>
      </c>
      <c r="C36" s="49"/>
      <c r="D36" s="270" t="s">
        <v>59</v>
      </c>
      <c r="E36" s="271"/>
      <c r="F36" s="270" t="s">
        <v>60</v>
      </c>
      <c r="G36" s="272"/>
      <c r="J36" s="65"/>
      <c r="K36" s="65"/>
      <c r="L36" s="70"/>
      <c r="M36" s="70"/>
      <c r="N36" s="71"/>
    </row>
    <row r="37" spans="1:14" s="64" customFormat="1" ht="27" customHeight="1" thickBot="1" x14ac:dyDescent="0.45">
      <c r="A37" s="77" t="s">
        <v>61</v>
      </c>
      <c r="B37" s="78">
        <v>3</v>
      </c>
      <c r="C37" s="79" t="s">
        <v>62</v>
      </c>
      <c r="D37" s="80" t="s">
        <v>63</v>
      </c>
      <c r="E37" s="81" t="s">
        <v>64</v>
      </c>
      <c r="F37" s="80" t="s">
        <v>63</v>
      </c>
      <c r="G37" s="82" t="s">
        <v>64</v>
      </c>
      <c r="I37" s="83" t="s">
        <v>65</v>
      </c>
      <c r="J37" s="65"/>
      <c r="K37" s="65"/>
      <c r="L37" s="70"/>
      <c r="M37" s="70"/>
      <c r="N37" s="71"/>
    </row>
    <row r="38" spans="1:14" s="64" customFormat="1" ht="26.25" customHeight="1" x14ac:dyDescent="0.4">
      <c r="A38" s="77" t="s">
        <v>66</v>
      </c>
      <c r="B38" s="78">
        <v>50</v>
      </c>
      <c r="C38" s="84">
        <v>1</v>
      </c>
      <c r="D38" s="85">
        <v>258682813</v>
      </c>
      <c r="E38" s="86">
        <f>IF(ISBLANK(D38),"-",$D$48/$D$45*D38)</f>
        <v>316030211.36801136</v>
      </c>
      <c r="F38" s="85">
        <v>342772214</v>
      </c>
      <c r="G38" s="87">
        <f>IF(ISBLANK(F38),"-",$D$48/$F$45*F38)</f>
        <v>303434997.96324438</v>
      </c>
      <c r="I38" s="88"/>
      <c r="J38" s="65"/>
      <c r="K38" s="65"/>
      <c r="L38" s="70"/>
      <c r="M38" s="70"/>
      <c r="N38" s="71"/>
    </row>
    <row r="39" spans="1:14" s="64" customFormat="1" ht="26.25" customHeight="1" x14ac:dyDescent="0.4">
      <c r="A39" s="77" t="s">
        <v>67</v>
      </c>
      <c r="B39" s="78">
        <v>1</v>
      </c>
      <c r="C39" s="89">
        <v>2</v>
      </c>
      <c r="D39" s="90">
        <v>258394414</v>
      </c>
      <c r="E39" s="91">
        <f>IF(ISBLANK(D39),"-",$D$48/$D$45*D39)</f>
        <v>315677877.1875093</v>
      </c>
      <c r="F39" s="90">
        <v>345416620</v>
      </c>
      <c r="G39" s="92">
        <f>IF(ISBLANK(F39),"-",$D$48/$F$45*F39)</f>
        <v>305775926.70965672</v>
      </c>
      <c r="I39" s="273">
        <f>ABS((F43/D43*D42)-F42)/D42</f>
        <v>4.7585936683432452E-2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68</v>
      </c>
      <c r="B40" s="78">
        <v>1</v>
      </c>
      <c r="C40" s="89">
        <v>3</v>
      </c>
      <c r="D40" s="90">
        <v>257952050</v>
      </c>
      <c r="E40" s="91">
        <f>IF(ISBLANK(D40),"-",$D$48/$D$45*D40)</f>
        <v>315137445.50285155</v>
      </c>
      <c r="F40" s="90">
        <v>344524958</v>
      </c>
      <c r="G40" s="92">
        <f>IF(ISBLANK(F40),"-",$D$48/$F$45*F40)</f>
        <v>304986593.60124463</v>
      </c>
      <c r="I40" s="273"/>
      <c r="L40" s="70"/>
      <c r="M40" s="70"/>
      <c r="N40" s="49"/>
    </row>
    <row r="41" spans="1:14" ht="27" customHeight="1" thickBot="1" x14ac:dyDescent="0.45">
      <c r="A41" s="77" t="s">
        <v>69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49"/>
    </row>
    <row r="42" spans="1:14" ht="27" customHeight="1" thickBot="1" x14ac:dyDescent="0.45">
      <c r="A42" s="77" t="s">
        <v>70</v>
      </c>
      <c r="B42" s="78">
        <v>1</v>
      </c>
      <c r="C42" s="98" t="s">
        <v>71</v>
      </c>
      <c r="D42" s="99">
        <f>AVERAGE(D38:D41)</f>
        <v>258343092.33333334</v>
      </c>
      <c r="E42" s="100">
        <f>AVERAGE(E38:E41)</f>
        <v>315615178.0194574</v>
      </c>
      <c r="F42" s="99">
        <f>AVERAGE(F38:F41)</f>
        <v>344237930.66666669</v>
      </c>
      <c r="G42" s="101">
        <f>AVERAGE(G38:G41)</f>
        <v>304732506.09138197</v>
      </c>
      <c r="H42" s="102"/>
    </row>
    <row r="43" spans="1:14" ht="26.25" customHeight="1" x14ac:dyDescent="0.4">
      <c r="A43" s="77" t="s">
        <v>72</v>
      </c>
      <c r="B43" s="78">
        <v>1</v>
      </c>
      <c r="C43" s="103" t="s">
        <v>73</v>
      </c>
      <c r="D43" s="104">
        <v>17.260000000000002</v>
      </c>
      <c r="E43" s="49"/>
      <c r="F43" s="104">
        <v>23.82</v>
      </c>
      <c r="H43" s="102"/>
    </row>
    <row r="44" spans="1:14" ht="26.25" customHeight="1" x14ac:dyDescent="0.4">
      <c r="A44" s="77" t="s">
        <v>74</v>
      </c>
      <c r="B44" s="78">
        <v>1</v>
      </c>
      <c r="C44" s="105" t="s">
        <v>75</v>
      </c>
      <c r="D44" s="106">
        <f>D43*$B$34</f>
        <v>17.260000000000002</v>
      </c>
      <c r="E44" s="107"/>
      <c r="F44" s="106">
        <f>F43*$B$34</f>
        <v>23.82</v>
      </c>
      <c r="H44" s="102"/>
    </row>
    <row r="45" spans="1:14" ht="19.5" customHeight="1" thickBot="1" x14ac:dyDescent="0.35">
      <c r="A45" s="77" t="s">
        <v>76</v>
      </c>
      <c r="B45" s="89">
        <f>(B44/B43)*(B42/B41)*(B40/B39)*(B38/B37)*B36</f>
        <v>833.33333333333337</v>
      </c>
      <c r="C45" s="105" t="s">
        <v>77</v>
      </c>
      <c r="D45" s="108">
        <f>D44*$B$30/100</f>
        <v>17.052880000000002</v>
      </c>
      <c r="E45" s="109"/>
      <c r="F45" s="108">
        <f>F44*$B$30/100</f>
        <v>23.53416</v>
      </c>
      <c r="H45" s="102"/>
    </row>
    <row r="46" spans="1:14" ht="19.5" customHeight="1" thickBot="1" x14ac:dyDescent="0.35">
      <c r="A46" s="274" t="s">
        <v>78</v>
      </c>
      <c r="B46" s="275"/>
      <c r="C46" s="105" t="s">
        <v>79</v>
      </c>
      <c r="D46" s="110">
        <f>D45/$B$45</f>
        <v>2.0463456000000001E-2</v>
      </c>
      <c r="E46" s="111"/>
      <c r="F46" s="112">
        <f>F45/$B$45</f>
        <v>2.8240991999999999E-2</v>
      </c>
      <c r="H46" s="102"/>
    </row>
    <row r="47" spans="1:14" ht="27" customHeight="1" thickBot="1" x14ac:dyDescent="0.45">
      <c r="A47" s="276"/>
      <c r="B47" s="277"/>
      <c r="C47" s="113" t="s">
        <v>80</v>
      </c>
      <c r="D47" s="114">
        <v>2.5000000000000001E-2</v>
      </c>
      <c r="E47" s="115"/>
      <c r="F47" s="111"/>
      <c r="H47" s="102"/>
    </row>
    <row r="48" spans="1:14" ht="18.75" x14ac:dyDescent="0.3">
      <c r="C48" s="116" t="s">
        <v>81</v>
      </c>
      <c r="D48" s="108">
        <f>D47*$B$45</f>
        <v>20.833333333333336</v>
      </c>
      <c r="F48" s="117"/>
      <c r="H48" s="102"/>
    </row>
    <row r="49" spans="1:12" ht="19.5" customHeight="1" thickBot="1" x14ac:dyDescent="0.35">
      <c r="C49" s="118" t="s">
        <v>82</v>
      </c>
      <c r="D49" s="119">
        <f>D48/B34</f>
        <v>20.833333333333336</v>
      </c>
      <c r="F49" s="117"/>
      <c r="H49" s="102"/>
    </row>
    <row r="50" spans="1:12" ht="18.75" x14ac:dyDescent="0.3">
      <c r="C50" s="75" t="s">
        <v>83</v>
      </c>
      <c r="D50" s="120">
        <f>AVERAGE(E38:E41,G38:G41)</f>
        <v>310173842.05541968</v>
      </c>
      <c r="F50" s="121"/>
      <c r="H50" s="102"/>
    </row>
    <row r="51" spans="1:12" ht="18.75" x14ac:dyDescent="0.3">
      <c r="C51" s="77" t="s">
        <v>84</v>
      </c>
      <c r="D51" s="122">
        <f>STDEV(E38:E41,G38:G41)/D50</f>
        <v>1.939175727589736E-2</v>
      </c>
      <c r="F51" s="121"/>
      <c r="H51" s="102"/>
    </row>
    <row r="52" spans="1:12" ht="19.5" customHeight="1" thickBot="1" x14ac:dyDescent="0.35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85</v>
      </c>
    </row>
    <row r="55" spans="1:12" ht="18.75" x14ac:dyDescent="0.3">
      <c r="A55" s="49" t="s">
        <v>86</v>
      </c>
      <c r="B55" s="127" t="str">
        <f>B21</f>
        <v>Each tablet contains: 200 mg of Nevirapine USP.</v>
      </c>
    </row>
    <row r="56" spans="1:12" ht="26.25" customHeight="1" x14ac:dyDescent="0.4">
      <c r="A56" s="127" t="s">
        <v>87</v>
      </c>
      <c r="B56" s="128">
        <v>200</v>
      </c>
      <c r="C56" s="49" t="str">
        <f>B20</f>
        <v>Nevirapine USP</v>
      </c>
      <c r="H56" s="107"/>
    </row>
    <row r="57" spans="1:12" ht="18.75" x14ac:dyDescent="0.3">
      <c r="A57" s="127" t="s">
        <v>88</v>
      </c>
      <c r="B57" s="129">
        <f>[1]Uniformity!C46</f>
        <v>796.53750000000002</v>
      </c>
      <c r="H57" s="107"/>
    </row>
    <row r="58" spans="1:12" ht="19.5" customHeight="1" thickBot="1" x14ac:dyDescent="0.35">
      <c r="H58" s="107"/>
    </row>
    <row r="59" spans="1:12" s="64" customFormat="1" ht="27" customHeight="1" thickBot="1" x14ac:dyDescent="0.45">
      <c r="A59" s="75" t="s">
        <v>89</v>
      </c>
      <c r="B59" s="76">
        <v>250</v>
      </c>
      <c r="C59" s="49"/>
      <c r="D59" s="130" t="s">
        <v>90</v>
      </c>
      <c r="E59" s="131" t="s">
        <v>62</v>
      </c>
      <c r="F59" s="131" t="s">
        <v>63</v>
      </c>
      <c r="G59" s="131" t="s">
        <v>91</v>
      </c>
      <c r="H59" s="79" t="s">
        <v>92</v>
      </c>
      <c r="L59" s="65"/>
    </row>
    <row r="60" spans="1:12" s="64" customFormat="1" ht="26.25" customHeight="1" x14ac:dyDescent="0.4">
      <c r="A60" s="77" t="s">
        <v>93</v>
      </c>
      <c r="B60" s="78">
        <v>3</v>
      </c>
      <c r="C60" s="278" t="s">
        <v>94</v>
      </c>
      <c r="D60" s="281">
        <v>777.41</v>
      </c>
      <c r="E60" s="132">
        <v>1</v>
      </c>
      <c r="F60" s="133">
        <v>285293637</v>
      </c>
      <c r="G60" s="134">
        <f>IF(ISBLANK(F60),"-",(F60/$D$50*$D$47*$B$68)*($B$57/$D$60))</f>
        <v>196.33683351412481</v>
      </c>
      <c r="H60" s="135">
        <f t="shared" ref="H60:H71" si="0">IF(ISBLANK(F60),"-",G60/$B$56)</f>
        <v>0.98168416757062404</v>
      </c>
      <c r="L60" s="65"/>
    </row>
    <row r="61" spans="1:12" s="64" customFormat="1" ht="26.25" customHeight="1" x14ac:dyDescent="0.4">
      <c r="A61" s="77" t="s">
        <v>95</v>
      </c>
      <c r="B61" s="78">
        <v>100</v>
      </c>
      <c r="C61" s="279"/>
      <c r="D61" s="282"/>
      <c r="E61" s="136">
        <v>2</v>
      </c>
      <c r="F61" s="90">
        <v>286042680</v>
      </c>
      <c r="G61" s="137">
        <f>IF(ISBLANK(F61),"-",(F61/$D$50*$D$47*$B$68)*($B$57/$D$60))</f>
        <v>196.85231900595838</v>
      </c>
      <c r="H61" s="138">
        <f t="shared" si="0"/>
        <v>0.98426159502979194</v>
      </c>
      <c r="L61" s="65"/>
    </row>
    <row r="62" spans="1:12" s="64" customFormat="1" ht="26.25" customHeight="1" x14ac:dyDescent="0.4">
      <c r="A62" s="77" t="s">
        <v>96</v>
      </c>
      <c r="B62" s="78">
        <v>1</v>
      </c>
      <c r="C62" s="279"/>
      <c r="D62" s="282"/>
      <c r="E62" s="136">
        <v>3</v>
      </c>
      <c r="F62" s="139">
        <v>283611776</v>
      </c>
      <c r="G62" s="137">
        <f>IF(ISBLANK(F62),"-",(F62/$D$50*$D$47*$B$68)*($B$57/$D$60))</f>
        <v>195.17939002318954</v>
      </c>
      <c r="H62" s="138">
        <f t="shared" si="0"/>
        <v>0.97589695011594768</v>
      </c>
      <c r="L62" s="65"/>
    </row>
    <row r="63" spans="1:12" ht="27" customHeight="1" thickBot="1" x14ac:dyDescent="0.45">
      <c r="A63" s="77" t="s">
        <v>97</v>
      </c>
      <c r="B63" s="78">
        <v>1</v>
      </c>
      <c r="C63" s="280"/>
      <c r="D63" s="283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98</v>
      </c>
      <c r="B64" s="78">
        <v>1</v>
      </c>
      <c r="C64" s="278" t="s">
        <v>99</v>
      </c>
      <c r="D64" s="281">
        <v>734.41</v>
      </c>
      <c r="E64" s="132">
        <v>1</v>
      </c>
      <c r="F64" s="133">
        <v>275260108</v>
      </c>
      <c r="G64" s="142">
        <f>IF(ISBLANK(F64),"-",(F64/$D$50*$D$47*$B$68)*($B$57/$D$64))</f>
        <v>200.52314796936088</v>
      </c>
      <c r="H64" s="143">
        <f t="shared" si="0"/>
        <v>1.0026157398468043</v>
      </c>
    </row>
    <row r="65" spans="1:8" ht="26.25" customHeight="1" x14ac:dyDescent="0.4">
      <c r="A65" s="77" t="s">
        <v>100</v>
      </c>
      <c r="B65" s="78">
        <v>1</v>
      </c>
      <c r="C65" s="279"/>
      <c r="D65" s="282"/>
      <c r="E65" s="136">
        <v>2</v>
      </c>
      <c r="F65" s="90">
        <v>275719826</v>
      </c>
      <c r="G65" s="144">
        <f>IF(ISBLANK(F65),"-",(F65/$D$50*$D$47*$B$68)*($B$57/$D$64))</f>
        <v>200.85804611790837</v>
      </c>
      <c r="H65" s="145">
        <f t="shared" si="0"/>
        <v>1.0042902305895418</v>
      </c>
    </row>
    <row r="66" spans="1:8" ht="26.25" customHeight="1" x14ac:dyDescent="0.4">
      <c r="A66" s="77" t="s">
        <v>101</v>
      </c>
      <c r="B66" s="78">
        <v>1</v>
      </c>
      <c r="C66" s="279"/>
      <c r="D66" s="282"/>
      <c r="E66" s="136">
        <v>3</v>
      </c>
      <c r="F66" s="90">
        <v>276356715</v>
      </c>
      <c r="G66" s="144">
        <f>IF(ISBLANK(F66),"-",(F66/$D$50*$D$47*$B$68)*($B$57/$D$64))</f>
        <v>201.32201086788609</v>
      </c>
      <c r="H66" s="145">
        <f t="shared" si="0"/>
        <v>1.0066100543394305</v>
      </c>
    </row>
    <row r="67" spans="1:8" ht="27" customHeight="1" thickBot="1" x14ac:dyDescent="0.45">
      <c r="A67" s="77" t="s">
        <v>102</v>
      </c>
      <c r="B67" s="78">
        <v>1</v>
      </c>
      <c r="C67" s="280"/>
      <c r="D67" s="283"/>
      <c r="E67" s="140">
        <v>4</v>
      </c>
      <c r="F67" s="141"/>
      <c r="G67" s="146" t="str">
        <f>IF(ISBLANK(F67),"-",(F67/$D$50*$D$47*$B$68)*($B$57/$D$64))</f>
        <v>-</v>
      </c>
      <c r="H67" s="147" t="str">
        <f t="shared" si="0"/>
        <v>-</v>
      </c>
    </row>
    <row r="68" spans="1:8" ht="26.25" customHeight="1" x14ac:dyDescent="0.4">
      <c r="A68" s="77" t="s">
        <v>103</v>
      </c>
      <c r="B68" s="148">
        <f>(B67/B66)*(B65/B64)*(B63/B62)*(B61/B60)*B59</f>
        <v>8333.3333333333339</v>
      </c>
      <c r="C68" s="278" t="s">
        <v>104</v>
      </c>
      <c r="D68" s="281">
        <v>826.53</v>
      </c>
      <c r="E68" s="132">
        <v>1</v>
      </c>
      <c r="F68" s="133">
        <v>304568854</v>
      </c>
      <c r="G68" s="142">
        <f>IF(ISBLANK(F68),"-",(F68/$D$50*$D$47*$B$68)*($B$57/$D$68))</f>
        <v>197.14541783330651</v>
      </c>
      <c r="H68" s="138">
        <f t="shared" si="0"/>
        <v>0.98572708916653251</v>
      </c>
    </row>
    <row r="69" spans="1:8" ht="27" customHeight="1" thickBot="1" x14ac:dyDescent="0.45">
      <c r="A69" s="123" t="s">
        <v>105</v>
      </c>
      <c r="B69" s="149">
        <f>(D47*B68)/B56*B57</f>
        <v>829.72656250000023</v>
      </c>
      <c r="C69" s="279"/>
      <c r="D69" s="282"/>
      <c r="E69" s="136">
        <v>2</v>
      </c>
      <c r="F69" s="90">
        <v>308067644</v>
      </c>
      <c r="G69" s="144">
        <f>IF(ISBLANK(F69),"-",(F69/$D$50*$D$47*$B$68)*($B$57/$D$68))</f>
        <v>199.41016160930994</v>
      </c>
      <c r="H69" s="138">
        <f t="shared" si="0"/>
        <v>0.99705080804654966</v>
      </c>
    </row>
    <row r="70" spans="1:8" ht="26.25" customHeight="1" x14ac:dyDescent="0.4">
      <c r="A70" s="286" t="s">
        <v>78</v>
      </c>
      <c r="B70" s="287"/>
      <c r="C70" s="279"/>
      <c r="D70" s="282"/>
      <c r="E70" s="136">
        <v>3</v>
      </c>
      <c r="F70" s="90">
        <v>304367087</v>
      </c>
      <c r="G70" s="144">
        <f>IF(ISBLANK(F70),"-",(F70/$D$50*$D$47*$B$68)*($B$57/$D$68))</f>
        <v>197.01481538004327</v>
      </c>
      <c r="H70" s="138">
        <f t="shared" si="0"/>
        <v>0.98507407690021642</v>
      </c>
    </row>
    <row r="71" spans="1:8" ht="27" customHeight="1" thickBot="1" x14ac:dyDescent="0.45">
      <c r="A71" s="288"/>
      <c r="B71" s="289"/>
      <c r="C71" s="284"/>
      <c r="D71" s="283"/>
      <c r="E71" s="140">
        <v>4</v>
      </c>
      <c r="F71" s="141"/>
      <c r="G71" s="146" t="str">
        <f>IF(ISBLANK(F71),"-",(F71/$D$50*$D$47*$B$68)*($B$57/$D$68))</f>
        <v>-</v>
      </c>
      <c r="H71" s="150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51" t="s">
        <v>71</v>
      </c>
      <c r="G72" s="152">
        <f>AVERAGE(G60:G71)</f>
        <v>198.29357136900975</v>
      </c>
      <c r="H72" s="153">
        <f>AVERAGE(H60:H71)</f>
        <v>0.99146785684504879</v>
      </c>
    </row>
    <row r="73" spans="1:8" ht="26.25" customHeight="1" x14ac:dyDescent="0.4">
      <c r="C73" s="107"/>
      <c r="D73" s="107"/>
      <c r="E73" s="107"/>
      <c r="F73" s="154" t="s">
        <v>84</v>
      </c>
      <c r="G73" s="155">
        <f>STDEV(G60:G71)/G72</f>
        <v>1.1350089060111663E-2</v>
      </c>
      <c r="H73" s="155">
        <f>STDEV(H60:H71)/H72</f>
        <v>1.1350089060111651E-2</v>
      </c>
    </row>
    <row r="74" spans="1:8" ht="27" customHeight="1" thickBot="1" x14ac:dyDescent="0.45">
      <c r="A74" s="107"/>
      <c r="B74" s="107"/>
      <c r="C74" s="107"/>
      <c r="D74" s="107"/>
      <c r="E74" s="109"/>
      <c r="F74" s="156" t="s">
        <v>20</v>
      </c>
      <c r="G74" s="157">
        <f>COUNT(G60:G71)</f>
        <v>9</v>
      </c>
      <c r="H74" s="157">
        <f>COUNT(H60:H71)</f>
        <v>9</v>
      </c>
    </row>
    <row r="76" spans="1:8" ht="26.25" customHeight="1" x14ac:dyDescent="0.4">
      <c r="A76" s="60" t="s">
        <v>106</v>
      </c>
      <c r="B76" s="61" t="s">
        <v>107</v>
      </c>
      <c r="C76" s="290" t="str">
        <f>B20</f>
        <v>Nevirapine USP</v>
      </c>
      <c r="D76" s="290"/>
      <c r="E76" s="49" t="s">
        <v>108</v>
      </c>
      <c r="F76" s="49"/>
      <c r="G76" s="158">
        <f>H72</f>
        <v>0.99146785684504879</v>
      </c>
      <c r="H76" s="66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285" t="str">
        <f>B26</f>
        <v>NEVIRAPINE</v>
      </c>
      <c r="C79" s="285"/>
    </row>
    <row r="80" spans="1:8" ht="26.25" customHeight="1" x14ac:dyDescent="0.4">
      <c r="A80" s="61" t="s">
        <v>48</v>
      </c>
      <c r="B80" s="285" t="str">
        <f>B27</f>
        <v>N1-4</v>
      </c>
      <c r="C80" s="285"/>
    </row>
    <row r="81" spans="1:12" ht="27" customHeight="1" thickBot="1" x14ac:dyDescent="0.45">
      <c r="A81" s="61" t="s">
        <v>6</v>
      </c>
      <c r="B81" s="62">
        <f>B28</f>
        <v>98.8</v>
      </c>
    </row>
    <row r="82" spans="1:12" s="64" customFormat="1" ht="27" customHeight="1" thickBot="1" x14ac:dyDescent="0.45">
      <c r="A82" s="61" t="s">
        <v>49</v>
      </c>
      <c r="B82" s="63">
        <v>0</v>
      </c>
      <c r="C82" s="267" t="s">
        <v>50</v>
      </c>
      <c r="D82" s="268"/>
      <c r="E82" s="268"/>
      <c r="F82" s="268"/>
      <c r="G82" s="269"/>
      <c r="I82" s="65"/>
      <c r="J82" s="65"/>
      <c r="K82" s="65"/>
      <c r="L82" s="65"/>
    </row>
    <row r="83" spans="1:12" s="64" customFormat="1" ht="19.5" customHeight="1" thickBot="1" x14ac:dyDescent="0.35">
      <c r="A83" s="61" t="s">
        <v>51</v>
      </c>
      <c r="B83" s="66">
        <f>B81-B82</f>
        <v>98.8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64" customFormat="1" ht="27" customHeight="1" thickBot="1" x14ac:dyDescent="0.45">
      <c r="A84" s="61" t="s">
        <v>52</v>
      </c>
      <c r="B84" s="69">
        <v>1</v>
      </c>
      <c r="C84" s="255" t="s">
        <v>111</v>
      </c>
      <c r="D84" s="256"/>
      <c r="E84" s="256"/>
      <c r="F84" s="256"/>
      <c r="G84" s="256"/>
      <c r="H84" s="257"/>
      <c r="I84" s="65"/>
      <c r="J84" s="65"/>
      <c r="K84" s="65"/>
      <c r="L84" s="65"/>
    </row>
    <row r="85" spans="1:12" s="64" customFormat="1" ht="27" customHeight="1" thickBot="1" x14ac:dyDescent="0.45">
      <c r="A85" s="61" t="s">
        <v>54</v>
      </c>
      <c r="B85" s="69">
        <v>1</v>
      </c>
      <c r="C85" s="255" t="s">
        <v>112</v>
      </c>
      <c r="D85" s="256"/>
      <c r="E85" s="256"/>
      <c r="F85" s="256"/>
      <c r="G85" s="256"/>
      <c r="H85" s="257"/>
      <c r="I85" s="65"/>
      <c r="J85" s="65"/>
      <c r="K85" s="65"/>
      <c r="L85" s="65"/>
    </row>
    <row r="86" spans="1:12" s="64" customFormat="1" ht="18.75" x14ac:dyDescent="0.3">
      <c r="A86" s="61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64" customFormat="1" ht="18.75" x14ac:dyDescent="0.3">
      <c r="A87" s="61" t="s">
        <v>56</v>
      </c>
      <c r="B87" s="74">
        <f>B84/B85</f>
        <v>1</v>
      </c>
      <c r="C87" s="49" t="s">
        <v>57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35">
      <c r="A88" s="59"/>
      <c r="B88" s="59"/>
    </row>
    <row r="89" spans="1:12" ht="27" customHeight="1" thickBot="1" x14ac:dyDescent="0.45">
      <c r="A89" s="75" t="s">
        <v>58</v>
      </c>
      <c r="B89" s="76">
        <v>50</v>
      </c>
      <c r="D89" s="159" t="s">
        <v>59</v>
      </c>
      <c r="E89" s="160"/>
      <c r="F89" s="270" t="s">
        <v>60</v>
      </c>
      <c r="G89" s="272"/>
    </row>
    <row r="90" spans="1:12" ht="27" customHeight="1" thickBot="1" x14ac:dyDescent="0.45">
      <c r="A90" s="77" t="s">
        <v>61</v>
      </c>
      <c r="B90" s="78">
        <v>3</v>
      </c>
      <c r="C90" s="161" t="s">
        <v>62</v>
      </c>
      <c r="D90" s="80" t="s">
        <v>63</v>
      </c>
      <c r="E90" s="81" t="s">
        <v>64</v>
      </c>
      <c r="F90" s="80" t="s">
        <v>63</v>
      </c>
      <c r="G90" s="162" t="s">
        <v>64</v>
      </c>
      <c r="I90" s="83" t="s">
        <v>65</v>
      </c>
    </row>
    <row r="91" spans="1:12" ht="26.25" customHeight="1" x14ac:dyDescent="0.4">
      <c r="A91" s="77" t="s">
        <v>66</v>
      </c>
      <c r="B91" s="78">
        <v>100</v>
      </c>
      <c r="C91" s="163">
        <v>1</v>
      </c>
      <c r="D91" s="85">
        <v>205404994</v>
      </c>
      <c r="E91" s="86">
        <f>IF(ISBLANK(D91),"-",$D$101/$D$98*D91)</f>
        <v>192419632.09586346</v>
      </c>
      <c r="F91" s="85">
        <v>172921579</v>
      </c>
      <c r="G91" s="87">
        <f>IF(ISBLANK(F91),"-",$D$101/$F$98*F91)</f>
        <v>189540655.28819299</v>
      </c>
      <c r="I91" s="88"/>
    </row>
    <row r="92" spans="1:12" ht="26.25" customHeight="1" x14ac:dyDescent="0.4">
      <c r="A92" s="77" t="s">
        <v>67</v>
      </c>
      <c r="B92" s="78">
        <v>1</v>
      </c>
      <c r="C92" s="107">
        <v>2</v>
      </c>
      <c r="D92" s="90">
        <v>199911539</v>
      </c>
      <c r="E92" s="91">
        <f>IF(ISBLANK(D92),"-",$D$101/$D$98*D92)</f>
        <v>187273464.17924902</v>
      </c>
      <c r="F92" s="90">
        <v>174390871</v>
      </c>
      <c r="G92" s="92">
        <f>IF(ISBLANK(F92),"-",$D$101/$F$98*F92)</f>
        <v>191151157.40192688</v>
      </c>
      <c r="I92" s="273">
        <f>ABS((F96/D96*D95)-F95)/D95</f>
        <v>6.8576029394117714E-3</v>
      </c>
    </row>
    <row r="93" spans="1:12" ht="26.25" customHeight="1" x14ac:dyDescent="0.4">
      <c r="A93" s="77" t="s">
        <v>68</v>
      </c>
      <c r="B93" s="78">
        <v>1</v>
      </c>
      <c r="C93" s="107">
        <v>3</v>
      </c>
      <c r="D93" s="90">
        <v>199752654</v>
      </c>
      <c r="E93" s="91">
        <f>IF(ISBLANK(D93),"-",$D$101/$D$98*D93)</f>
        <v>187124623.62454689</v>
      </c>
      <c r="F93" s="90">
        <v>173955563</v>
      </c>
      <c r="G93" s="92">
        <f>IF(ISBLANK(F93),"-",$D$101/$F$98*F93)</f>
        <v>190674012.99895912</v>
      </c>
      <c r="I93" s="273"/>
    </row>
    <row r="94" spans="1:12" ht="27" customHeight="1" thickBot="1" x14ac:dyDescent="0.45">
      <c r="A94" s="77" t="s">
        <v>69</v>
      </c>
      <c r="B94" s="78">
        <v>1</v>
      </c>
      <c r="C94" s="164">
        <v>4</v>
      </c>
      <c r="D94" s="94"/>
      <c r="E94" s="95" t="str">
        <f>IF(ISBLANK(D94),"-",$D$101/$D$98*D94)</f>
        <v>-</v>
      </c>
      <c r="F94" s="94"/>
      <c r="G94" s="96" t="str">
        <f>IF(ISBLANK(F94),"-",$D$101/$F$98*F94)</f>
        <v>-</v>
      </c>
      <c r="I94" s="97"/>
    </row>
    <row r="95" spans="1:12" ht="27" customHeight="1" thickBot="1" x14ac:dyDescent="0.45">
      <c r="A95" s="77" t="s">
        <v>70</v>
      </c>
      <c r="B95" s="78">
        <v>1</v>
      </c>
      <c r="C95" s="61" t="s">
        <v>71</v>
      </c>
      <c r="D95" s="165">
        <f>AVERAGE(D91:D94)</f>
        <v>201689729</v>
      </c>
      <c r="E95" s="100">
        <f>AVERAGE(E91:E94)</f>
        <v>188939239.96655312</v>
      </c>
      <c r="F95" s="166">
        <f>AVERAGE(F91:F94)</f>
        <v>173756004.33333334</v>
      </c>
      <c r="G95" s="167">
        <f>AVERAGE(G91:G94)</f>
        <v>190455275.22969303</v>
      </c>
    </row>
    <row r="96" spans="1:12" ht="26.25" customHeight="1" x14ac:dyDescent="0.4">
      <c r="A96" s="77" t="s">
        <v>72</v>
      </c>
      <c r="B96" s="62">
        <v>1</v>
      </c>
      <c r="C96" s="168" t="s">
        <v>113</v>
      </c>
      <c r="D96" s="169">
        <v>24.01</v>
      </c>
      <c r="E96" s="49"/>
      <c r="F96" s="104">
        <v>20.52</v>
      </c>
    </row>
    <row r="97" spans="1:10" ht="26.25" customHeight="1" x14ac:dyDescent="0.4">
      <c r="A97" s="77" t="s">
        <v>74</v>
      </c>
      <c r="B97" s="62">
        <v>1</v>
      </c>
      <c r="C97" s="170" t="s">
        <v>114</v>
      </c>
      <c r="D97" s="171">
        <f>D96*$B$87</f>
        <v>24.01</v>
      </c>
      <c r="E97" s="107"/>
      <c r="F97" s="106">
        <f>F96*$B$87</f>
        <v>20.52</v>
      </c>
    </row>
    <row r="98" spans="1:10" ht="19.5" customHeight="1" thickBot="1" x14ac:dyDescent="0.35">
      <c r="A98" s="77" t="s">
        <v>76</v>
      </c>
      <c r="B98" s="107">
        <f>(B97/B96)*(B95/B94)*(B93/B92)*(B91/B90)*B89</f>
        <v>1666.6666666666667</v>
      </c>
      <c r="C98" s="170" t="s">
        <v>115</v>
      </c>
      <c r="D98" s="172">
        <f>D97*$B$83/100</f>
        <v>23.721880000000002</v>
      </c>
      <c r="E98" s="109"/>
      <c r="F98" s="108">
        <f>F97*$B$83/100</f>
        <v>20.273759999999999</v>
      </c>
    </row>
    <row r="99" spans="1:10" ht="19.5" customHeight="1" thickBot="1" x14ac:dyDescent="0.35">
      <c r="A99" s="274" t="s">
        <v>78</v>
      </c>
      <c r="B99" s="291"/>
      <c r="C99" s="170" t="s">
        <v>116</v>
      </c>
      <c r="D99" s="173">
        <f>D98/$B$98</f>
        <v>1.4233128000000001E-2</v>
      </c>
      <c r="E99" s="109"/>
      <c r="F99" s="112">
        <f>F98/$B$98</f>
        <v>1.2164255999999998E-2</v>
      </c>
      <c r="H99" s="102"/>
    </row>
    <row r="100" spans="1:10" ht="19.5" customHeight="1" thickBot="1" x14ac:dyDescent="0.35">
      <c r="A100" s="276"/>
      <c r="B100" s="292"/>
      <c r="C100" s="170" t="s">
        <v>80</v>
      </c>
      <c r="D100" s="174">
        <f>$B$56/$B$116</f>
        <v>1.3333333333333332E-2</v>
      </c>
      <c r="F100" s="117"/>
      <c r="G100" s="175"/>
      <c r="H100" s="102"/>
    </row>
    <row r="101" spans="1:10" ht="18.75" x14ac:dyDescent="0.3">
      <c r="C101" s="170" t="s">
        <v>81</v>
      </c>
      <c r="D101" s="171">
        <f>D100*$B$98</f>
        <v>22.222222222222221</v>
      </c>
      <c r="F101" s="117"/>
      <c r="H101" s="102"/>
    </row>
    <row r="102" spans="1:10" ht="19.5" customHeight="1" thickBot="1" x14ac:dyDescent="0.35">
      <c r="C102" s="176" t="s">
        <v>82</v>
      </c>
      <c r="D102" s="177">
        <f>D101/B34</f>
        <v>22.222222222222221</v>
      </c>
      <c r="F102" s="121"/>
      <c r="H102" s="102"/>
      <c r="J102" s="178"/>
    </row>
    <row r="103" spans="1:10" ht="18.75" x14ac:dyDescent="0.3">
      <c r="C103" s="179" t="s">
        <v>117</v>
      </c>
      <c r="D103" s="180">
        <f>AVERAGE(E91:E94,G91:G94)</f>
        <v>189697257.59812307</v>
      </c>
      <c r="F103" s="121"/>
      <c r="G103" s="175"/>
      <c r="H103" s="102"/>
      <c r="J103" s="181"/>
    </row>
    <row r="104" spans="1:10" ht="18.75" x14ac:dyDescent="0.3">
      <c r="C104" s="154" t="s">
        <v>84</v>
      </c>
      <c r="D104" s="182">
        <f>STDEV(E91:E94,G91:G94)/D103</f>
        <v>1.1305479846885059E-2</v>
      </c>
      <c r="F104" s="121"/>
      <c r="H104" s="102"/>
      <c r="J104" s="181"/>
    </row>
    <row r="105" spans="1:10" ht="19.5" customHeight="1" thickBot="1" x14ac:dyDescent="0.35">
      <c r="C105" s="156" t="s">
        <v>20</v>
      </c>
      <c r="D105" s="183">
        <f>COUNT(E91:E94,G91:G94)</f>
        <v>6</v>
      </c>
      <c r="F105" s="121"/>
      <c r="H105" s="102"/>
      <c r="J105" s="181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6.25" customHeight="1" x14ac:dyDescent="0.4">
      <c r="A107" s="75" t="s">
        <v>118</v>
      </c>
      <c r="B107" s="76">
        <v>900</v>
      </c>
      <c r="C107" s="159" t="s">
        <v>119</v>
      </c>
      <c r="D107" s="184" t="s">
        <v>63</v>
      </c>
      <c r="E107" s="185" t="s">
        <v>120</v>
      </c>
      <c r="F107" s="186" t="s">
        <v>121</v>
      </c>
    </row>
    <row r="108" spans="1:10" ht="26.25" customHeight="1" x14ac:dyDescent="0.4">
      <c r="A108" s="77" t="s">
        <v>122</v>
      </c>
      <c r="B108" s="78">
        <v>3</v>
      </c>
      <c r="C108" s="187">
        <v>1</v>
      </c>
      <c r="D108" s="188">
        <v>166323122</v>
      </c>
      <c r="E108" s="189">
        <f t="shared" ref="E108:E113" si="1">IF(ISBLANK(D108),"-",D108/$D$103*$D$100*$B$116)</f>
        <v>175.35638006149611</v>
      </c>
      <c r="F108" s="190">
        <f t="shared" ref="F108:F113" si="2">IF(ISBLANK(D108), "-", E108/$B$56)</f>
        <v>0.8767819003074806</v>
      </c>
    </row>
    <row r="109" spans="1:10" ht="26.25" customHeight="1" x14ac:dyDescent="0.4">
      <c r="A109" s="77" t="s">
        <v>95</v>
      </c>
      <c r="B109" s="78">
        <v>50</v>
      </c>
      <c r="C109" s="187">
        <v>2</v>
      </c>
      <c r="D109" s="188">
        <v>162332395</v>
      </c>
      <c r="E109" s="191">
        <f t="shared" si="1"/>
        <v>171.14891069633066</v>
      </c>
      <c r="F109" s="192">
        <f t="shared" si="2"/>
        <v>0.85574455348165335</v>
      </c>
    </row>
    <row r="110" spans="1:10" ht="26.25" customHeight="1" x14ac:dyDescent="0.4">
      <c r="A110" s="77" t="s">
        <v>96</v>
      </c>
      <c r="B110" s="78">
        <v>1</v>
      </c>
      <c r="C110" s="187">
        <v>3</v>
      </c>
      <c r="D110" s="188">
        <v>158243012</v>
      </c>
      <c r="E110" s="191">
        <f t="shared" si="1"/>
        <v>166.83742717592742</v>
      </c>
      <c r="F110" s="192">
        <f t="shared" si="2"/>
        <v>0.83418713587963711</v>
      </c>
    </row>
    <row r="111" spans="1:10" ht="26.25" customHeight="1" x14ac:dyDescent="0.4">
      <c r="A111" s="77" t="s">
        <v>97</v>
      </c>
      <c r="B111" s="78">
        <v>1</v>
      </c>
      <c r="C111" s="187">
        <v>4</v>
      </c>
      <c r="D111" s="188">
        <v>163453820</v>
      </c>
      <c r="E111" s="191">
        <f t="shared" si="1"/>
        <v>172.33124196901122</v>
      </c>
      <c r="F111" s="192">
        <f t="shared" si="2"/>
        <v>0.86165620984505609</v>
      </c>
    </row>
    <row r="112" spans="1:10" ht="26.25" customHeight="1" x14ac:dyDescent="0.4">
      <c r="A112" s="77" t="s">
        <v>98</v>
      </c>
      <c r="B112" s="78">
        <v>1</v>
      </c>
      <c r="C112" s="187">
        <v>5</v>
      </c>
      <c r="D112" s="188">
        <v>178433925</v>
      </c>
      <c r="E112" s="191">
        <f t="shared" si="1"/>
        <v>188.12493892559624</v>
      </c>
      <c r="F112" s="192">
        <f t="shared" si="2"/>
        <v>0.94062469462798115</v>
      </c>
    </row>
    <row r="113" spans="1:10" ht="26.25" customHeight="1" x14ac:dyDescent="0.4">
      <c r="A113" s="77" t="s">
        <v>100</v>
      </c>
      <c r="B113" s="78">
        <v>1</v>
      </c>
      <c r="C113" s="193">
        <v>6</v>
      </c>
      <c r="D113" s="194">
        <v>163521087</v>
      </c>
      <c r="E113" s="195">
        <f t="shared" si="1"/>
        <v>172.40216234060935</v>
      </c>
      <c r="F113" s="196">
        <f t="shared" si="2"/>
        <v>0.86201081170304672</v>
      </c>
    </row>
    <row r="114" spans="1:10" ht="26.25" customHeight="1" x14ac:dyDescent="0.4">
      <c r="A114" s="77" t="s">
        <v>101</v>
      </c>
      <c r="B114" s="78">
        <v>1</v>
      </c>
      <c r="C114" s="187"/>
      <c r="D114" s="107"/>
      <c r="E114" s="49"/>
      <c r="F114" s="197"/>
    </row>
    <row r="115" spans="1:10" ht="26.25" customHeight="1" x14ac:dyDescent="0.4">
      <c r="A115" s="77" t="s">
        <v>102</v>
      </c>
      <c r="B115" s="78">
        <v>1</v>
      </c>
      <c r="C115" s="187"/>
      <c r="D115" s="198" t="s">
        <v>71</v>
      </c>
      <c r="E115" s="199">
        <f>AVERAGE(E108:E113)</f>
        <v>174.36684352816181</v>
      </c>
      <c r="F115" s="200">
        <f>AVERAGE(F108:F113)</f>
        <v>0.87183421764080915</v>
      </c>
    </row>
    <row r="116" spans="1:10" ht="27" customHeight="1" thickBot="1" x14ac:dyDescent="0.45">
      <c r="A116" s="77" t="s">
        <v>103</v>
      </c>
      <c r="B116" s="89">
        <f>(B115/B114)*(B113/B112)*(B111/B110)*(B109/B108)*B107</f>
        <v>15000.000000000002</v>
      </c>
      <c r="C116" s="201"/>
      <c r="D116" s="61" t="s">
        <v>84</v>
      </c>
      <c r="E116" s="202">
        <f>STDEV(E108:E113)/E115</f>
        <v>4.1776511696403618E-2</v>
      </c>
      <c r="F116" s="202">
        <f>STDEV(F108:F113)/F115</f>
        <v>4.1776511696403583E-2</v>
      </c>
      <c r="I116" s="49"/>
    </row>
    <row r="117" spans="1:10" ht="27" customHeight="1" thickBot="1" x14ac:dyDescent="0.45">
      <c r="A117" s="274" t="s">
        <v>78</v>
      </c>
      <c r="B117" s="275"/>
      <c r="C117" s="203"/>
      <c r="D117" s="204" t="s">
        <v>20</v>
      </c>
      <c r="E117" s="205">
        <f>COUNT(E108:E113)</f>
        <v>6</v>
      </c>
      <c r="F117" s="205">
        <f>COUNT(F108:F113)</f>
        <v>6</v>
      </c>
      <c r="I117" s="49"/>
      <c r="J117" s="181"/>
    </row>
    <row r="118" spans="1:10" ht="19.5" customHeight="1" thickBot="1" x14ac:dyDescent="0.35">
      <c r="A118" s="276"/>
      <c r="B118" s="277"/>
      <c r="C118" s="49"/>
      <c r="D118" s="49"/>
      <c r="E118" s="49"/>
      <c r="F118" s="107"/>
      <c r="G118" s="49"/>
      <c r="H118" s="49"/>
      <c r="I118" s="49"/>
    </row>
    <row r="119" spans="1:10" ht="18.75" x14ac:dyDescent="0.3">
      <c r="A119" s="206"/>
      <c r="B119" s="73"/>
      <c r="C119" s="49"/>
      <c r="D119" s="49"/>
      <c r="E119" s="49"/>
      <c r="F119" s="107"/>
      <c r="G119" s="49"/>
      <c r="H119" s="49"/>
      <c r="I119" s="49"/>
    </row>
    <row r="120" spans="1:10" ht="26.25" customHeight="1" x14ac:dyDescent="0.4">
      <c r="A120" s="60" t="s">
        <v>106</v>
      </c>
      <c r="B120" s="61" t="s">
        <v>123</v>
      </c>
      <c r="C120" s="290" t="str">
        <f>B20</f>
        <v>Nevirapine USP</v>
      </c>
      <c r="D120" s="290"/>
      <c r="E120" s="49" t="s">
        <v>124</v>
      </c>
      <c r="F120" s="49"/>
      <c r="G120" s="158">
        <f>F115</f>
        <v>0.87183421764080915</v>
      </c>
      <c r="H120" s="49"/>
      <c r="I120" s="49"/>
    </row>
    <row r="121" spans="1:10" ht="19.5" customHeight="1" thickBot="1" x14ac:dyDescent="0.35">
      <c r="A121" s="207"/>
      <c r="B121" s="207"/>
      <c r="C121" s="208"/>
      <c r="D121" s="208"/>
      <c r="E121" s="208"/>
      <c r="F121" s="208"/>
      <c r="G121" s="208"/>
      <c r="H121" s="208"/>
    </row>
    <row r="122" spans="1:10" ht="18.75" x14ac:dyDescent="0.3">
      <c r="B122" s="293" t="s">
        <v>26</v>
      </c>
      <c r="C122" s="293"/>
      <c r="E122" s="161" t="s">
        <v>27</v>
      </c>
      <c r="F122" s="209"/>
      <c r="G122" s="293" t="s">
        <v>28</v>
      </c>
      <c r="H122" s="293"/>
    </row>
    <row r="123" spans="1:10" ht="69.95" customHeight="1" x14ac:dyDescent="0.3">
      <c r="A123" s="60" t="s">
        <v>29</v>
      </c>
      <c r="B123" s="210"/>
      <c r="C123" s="210"/>
      <c r="E123" s="210"/>
      <c r="F123" s="49"/>
      <c r="G123" s="210"/>
      <c r="H123" s="210"/>
    </row>
    <row r="124" spans="1:10" ht="69.95" customHeight="1" x14ac:dyDescent="0.3">
      <c r="A124" s="60" t="s">
        <v>30</v>
      </c>
      <c r="B124" s="211"/>
      <c r="C124" s="211"/>
      <c r="E124" s="211"/>
      <c r="F124" s="49"/>
      <c r="G124" s="212"/>
      <c r="H124" s="212"/>
    </row>
    <row r="125" spans="1:10" ht="18.75" x14ac:dyDescent="0.3">
      <c r="A125" s="107"/>
      <c r="B125" s="107"/>
      <c r="C125" s="107"/>
      <c r="D125" s="107"/>
      <c r="E125" s="107"/>
      <c r="F125" s="109"/>
      <c r="G125" s="107"/>
      <c r="H125" s="107"/>
      <c r="I125" s="49"/>
    </row>
    <row r="126" spans="1:10" ht="18.75" x14ac:dyDescent="0.3">
      <c r="A126" s="107"/>
      <c r="B126" s="107"/>
      <c r="C126" s="107"/>
      <c r="D126" s="107"/>
      <c r="E126" s="107"/>
      <c r="F126" s="109"/>
      <c r="G126" s="107"/>
      <c r="H126" s="107"/>
      <c r="I126" s="49"/>
    </row>
    <row r="127" spans="1:10" ht="18.75" x14ac:dyDescent="0.3">
      <c r="A127" s="107"/>
      <c r="B127" s="107"/>
      <c r="C127" s="107"/>
      <c r="D127" s="107"/>
      <c r="E127" s="107"/>
      <c r="F127" s="109"/>
      <c r="G127" s="107"/>
      <c r="H127" s="107"/>
      <c r="I127" s="49"/>
    </row>
    <row r="128" spans="1:10" ht="18.75" x14ac:dyDescent="0.3">
      <c r="A128" s="107"/>
      <c r="B128" s="107"/>
      <c r="C128" s="107"/>
      <c r="D128" s="107"/>
      <c r="E128" s="107"/>
      <c r="F128" s="109"/>
      <c r="G128" s="107"/>
      <c r="H128" s="107"/>
      <c r="I128" s="49"/>
    </row>
    <row r="129" spans="1:9" ht="18.75" x14ac:dyDescent="0.3">
      <c r="A129" s="107"/>
      <c r="B129" s="107"/>
      <c r="C129" s="107"/>
      <c r="D129" s="107"/>
      <c r="E129" s="107"/>
      <c r="F129" s="109"/>
      <c r="G129" s="107"/>
      <c r="H129" s="107"/>
      <c r="I129" s="49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49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49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49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49"/>
    </row>
    <row r="250" spans="1:1" x14ac:dyDescent="0.25">
      <c r="A250" s="48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D36:E36"/>
    <mergeCell ref="F36:G36"/>
    <mergeCell ref="I39:I40"/>
    <mergeCell ref="A46:B47"/>
    <mergeCell ref="C60:C63"/>
    <mergeCell ref="D60:D63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C29" sqref="C2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7" t="s">
        <v>31</v>
      </c>
      <c r="B11" s="298"/>
      <c r="C11" s="298"/>
      <c r="D11" s="298"/>
      <c r="E11" s="298"/>
      <c r="F11" s="299"/>
      <c r="G11" s="41"/>
    </row>
    <row r="12" spans="1:7" ht="16.5" customHeight="1" x14ac:dyDescent="0.3">
      <c r="A12" s="296" t="s">
        <v>32</v>
      </c>
      <c r="B12" s="296"/>
      <c r="C12" s="296"/>
      <c r="D12" s="296"/>
      <c r="E12" s="296"/>
      <c r="F12" s="296"/>
      <c r="G12" s="40"/>
    </row>
    <row r="14" spans="1:7" ht="16.5" customHeight="1" x14ac:dyDescent="0.3">
      <c r="A14" s="301" t="s">
        <v>33</v>
      </c>
      <c r="B14" s="301"/>
      <c r="C14" s="10" t="s">
        <v>5</v>
      </c>
    </row>
    <row r="15" spans="1:7" ht="16.5" customHeight="1" x14ac:dyDescent="0.3">
      <c r="A15" s="301" t="s">
        <v>34</v>
      </c>
      <c r="B15" s="301"/>
      <c r="C15" s="10" t="s">
        <v>7</v>
      </c>
    </row>
    <row r="16" spans="1:7" ht="16.5" customHeight="1" x14ac:dyDescent="0.3">
      <c r="A16" s="301" t="s">
        <v>35</v>
      </c>
      <c r="B16" s="301"/>
      <c r="C16" s="10" t="s">
        <v>9</v>
      </c>
    </row>
    <row r="17" spans="1:5" ht="16.5" customHeight="1" x14ac:dyDescent="0.3">
      <c r="A17" s="301" t="s">
        <v>36</v>
      </c>
      <c r="B17" s="301"/>
      <c r="C17" s="10" t="s">
        <v>11</v>
      </c>
    </row>
    <row r="18" spans="1:5" ht="16.5" customHeight="1" x14ac:dyDescent="0.3">
      <c r="A18" s="301" t="s">
        <v>37</v>
      </c>
      <c r="B18" s="301"/>
      <c r="C18" s="47" t="s">
        <v>12</v>
      </c>
    </row>
    <row r="19" spans="1:5" ht="16.5" customHeight="1" x14ac:dyDescent="0.3">
      <c r="A19" s="301" t="s">
        <v>38</v>
      </c>
      <c r="B19" s="301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96" t="s">
        <v>1</v>
      </c>
      <c r="B21" s="296"/>
      <c r="C21" s="9" t="s">
        <v>39</v>
      </c>
      <c r="D21" s="16"/>
    </row>
    <row r="22" spans="1:5" ht="15.75" customHeight="1" x14ac:dyDescent="0.3">
      <c r="A22" s="300"/>
      <c r="B22" s="300"/>
      <c r="C22" s="7"/>
      <c r="D22" s="300"/>
      <c r="E22" s="300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801.48</v>
      </c>
      <c r="D24" s="37">
        <f t="shared" ref="D24:D43" si="0">(C24-$C$46)/$C$46</f>
        <v>6.3922653589150078E-4</v>
      </c>
      <c r="E24" s="3"/>
    </row>
    <row r="25" spans="1:5" ht="15.75" customHeight="1" x14ac:dyDescent="0.3">
      <c r="C25" s="45">
        <v>794.58</v>
      </c>
      <c r="D25" s="38">
        <f t="shared" si="0"/>
        <v>-7.9753498267097229E-3</v>
      </c>
      <c r="E25" s="3"/>
    </row>
    <row r="26" spans="1:5" ht="15.75" customHeight="1" x14ac:dyDescent="0.3">
      <c r="C26" s="45">
        <v>809.5</v>
      </c>
      <c r="D26" s="38">
        <f t="shared" si="0"/>
        <v>1.0652110945755541E-2</v>
      </c>
      <c r="E26" s="3"/>
    </row>
    <row r="27" spans="1:5" ht="15.75" customHeight="1" x14ac:dyDescent="0.3">
      <c r="C27" s="45">
        <v>790.3</v>
      </c>
      <c r="D27" s="38">
        <f t="shared" si="0"/>
        <v>-1.3318884150178434E-2</v>
      </c>
      <c r="E27" s="3"/>
    </row>
    <row r="28" spans="1:5" ht="15.75" customHeight="1" x14ac:dyDescent="0.3">
      <c r="C28" s="45">
        <v>786.35</v>
      </c>
      <c r="D28" s="38">
        <f t="shared" si="0"/>
        <v>-1.8250416995435587E-2</v>
      </c>
      <c r="E28" s="3"/>
    </row>
    <row r="29" spans="1:5" ht="15.75" customHeight="1" x14ac:dyDescent="0.3">
      <c r="C29" s="45">
        <v>798.91</v>
      </c>
      <c r="D29" s="38">
        <f t="shared" si="0"/>
        <v>-2.5693910368455495E-3</v>
      </c>
      <c r="E29" s="3"/>
    </row>
    <row r="30" spans="1:5" ht="15.75" customHeight="1" x14ac:dyDescent="0.3">
      <c r="C30" s="45">
        <v>821.25</v>
      </c>
      <c r="D30" s="38">
        <f t="shared" si="0"/>
        <v>2.5321860548735933E-2</v>
      </c>
      <c r="E30" s="3"/>
    </row>
    <row r="31" spans="1:5" ht="15.75" customHeight="1" x14ac:dyDescent="0.3">
      <c r="C31" s="45">
        <v>788.35</v>
      </c>
      <c r="D31" s="38">
        <f t="shared" si="0"/>
        <v>-1.5753438339609138E-2</v>
      </c>
      <c r="E31" s="3"/>
    </row>
    <row r="32" spans="1:5" ht="15.75" customHeight="1" x14ac:dyDescent="0.3">
      <c r="C32" s="45">
        <v>801.42</v>
      </c>
      <c r="D32" s="38">
        <f t="shared" si="0"/>
        <v>5.6431717621663346E-4</v>
      </c>
      <c r="E32" s="3"/>
    </row>
    <row r="33" spans="1:7" ht="15.75" customHeight="1" x14ac:dyDescent="0.3">
      <c r="C33" s="45">
        <v>775.58</v>
      </c>
      <c r="D33" s="38">
        <f t="shared" si="0"/>
        <v>-3.1696647057060996E-2</v>
      </c>
      <c r="E33" s="3"/>
    </row>
    <row r="34" spans="1:7" ht="15.75" customHeight="1" x14ac:dyDescent="0.3">
      <c r="C34" s="45">
        <v>808.89</v>
      </c>
      <c r="D34" s="38">
        <f t="shared" si="0"/>
        <v>9.8905324557284572E-3</v>
      </c>
      <c r="E34" s="3"/>
    </row>
    <row r="35" spans="1:7" ht="15.75" customHeight="1" x14ac:dyDescent="0.3">
      <c r="C35" s="45">
        <v>786.96</v>
      </c>
      <c r="D35" s="38">
        <f t="shared" si="0"/>
        <v>-1.7488838505408503E-2</v>
      </c>
      <c r="E35" s="3"/>
    </row>
    <row r="36" spans="1:7" ht="15.75" customHeight="1" x14ac:dyDescent="0.3">
      <c r="C36" s="45">
        <v>793.7</v>
      </c>
      <c r="D36" s="38">
        <f t="shared" si="0"/>
        <v>-9.0740204352733542E-3</v>
      </c>
      <c r="E36" s="3"/>
    </row>
    <row r="37" spans="1:7" ht="15.75" customHeight="1" x14ac:dyDescent="0.3">
      <c r="C37" s="45">
        <v>805.75</v>
      </c>
      <c r="D37" s="38">
        <f t="shared" si="0"/>
        <v>5.9702759660809485E-3</v>
      </c>
      <c r="E37" s="3"/>
    </row>
    <row r="38" spans="1:7" ht="15.75" customHeight="1" x14ac:dyDescent="0.3">
      <c r="C38" s="45">
        <v>801.33</v>
      </c>
      <c r="D38" s="38">
        <f t="shared" si="0"/>
        <v>4.5195313670454542E-4</v>
      </c>
      <c r="E38" s="3"/>
    </row>
    <row r="39" spans="1:7" ht="15.75" customHeight="1" x14ac:dyDescent="0.3">
      <c r="C39" s="45">
        <v>818.65</v>
      </c>
      <c r="D39" s="38">
        <f t="shared" si="0"/>
        <v>2.2075788296161521E-2</v>
      </c>
      <c r="E39" s="3"/>
    </row>
    <row r="40" spans="1:7" ht="15.75" customHeight="1" x14ac:dyDescent="0.3">
      <c r="C40" s="45">
        <v>799.25</v>
      </c>
      <c r="D40" s="38">
        <f t="shared" si="0"/>
        <v>-2.1449046653550133E-3</v>
      </c>
      <c r="E40" s="3"/>
    </row>
    <row r="41" spans="1:7" ht="15.75" customHeight="1" x14ac:dyDescent="0.3">
      <c r="C41" s="45">
        <v>823.94</v>
      </c>
      <c r="D41" s="38">
        <f t="shared" si="0"/>
        <v>2.8680296840822576E-2</v>
      </c>
      <c r="E41" s="3"/>
    </row>
    <row r="42" spans="1:7" ht="15.75" customHeight="1" x14ac:dyDescent="0.3">
      <c r="C42" s="45">
        <v>811.68</v>
      </c>
      <c r="D42" s="38">
        <f t="shared" si="0"/>
        <v>1.3373817680606309E-2</v>
      </c>
      <c r="E42" s="3"/>
    </row>
    <row r="43" spans="1:7" ht="16.5" customHeight="1" x14ac:dyDescent="0.3">
      <c r="C43" s="46">
        <v>801.49</v>
      </c>
      <c r="D43" s="39">
        <f t="shared" si="0"/>
        <v>6.5171142917062159E-4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16019.36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800.96800000000007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94">
        <f>C46</f>
        <v>800.96800000000007</v>
      </c>
      <c r="C49" s="43">
        <f>-IF(C46&lt;=80,10%,IF(C46&lt;250,7.5%,5%))</f>
        <v>-0.05</v>
      </c>
      <c r="D49" s="31">
        <f>IF(C46&lt;=80,C46*0.9,IF(C46&lt;250,C46*0.925,C46*0.95))</f>
        <v>760.91960000000006</v>
      </c>
    </row>
    <row r="50" spans="1:6" ht="17.25" customHeight="1" x14ac:dyDescent="0.3">
      <c r="B50" s="295"/>
      <c r="C50" s="44">
        <f>IF(C46&lt;=80, 10%, IF(C46&lt;250, 7.5%, 5%))</f>
        <v>0.05</v>
      </c>
      <c r="D50" s="31">
        <f>IF(C46&lt;=80, C46*1.1, IF(C46&lt;250, C46*1.075, C46*1.05))</f>
        <v>841.01640000000009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 (2)</vt:lpstr>
      <vt:lpstr>Nevirapine</vt:lpstr>
      <vt:lpstr>Uniformity</vt:lpstr>
      <vt:lpstr>Nevirapine!Print_Area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2016-07-20T15:39:01Z</cp:lastPrinted>
  <dcterms:created xsi:type="dcterms:W3CDTF">2005-07-05T10:19:27Z</dcterms:created>
  <dcterms:modified xsi:type="dcterms:W3CDTF">2016-07-20T15:40:45Z</dcterms:modified>
</cp:coreProperties>
</file>