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7620"/>
  </bookViews>
  <sheets>
    <sheet name="SST" sheetId="1" r:id="rId1"/>
    <sheet name="Uniformity" sheetId="2" r:id="rId2"/>
    <sheet name="Nevirapine" sheetId="3" r:id="rId3"/>
  </sheets>
  <definedNames>
    <definedName name="_xlnm.Print_Area" localSheetId="2">Nevirapine!$A$1:$I$124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6" i="2"/>
  <c r="D50" i="2" s="1"/>
  <c r="C45" i="2"/>
  <c r="D43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B31" i="1"/>
  <c r="I92" i="3" l="1"/>
  <c r="D101" i="3"/>
  <c r="D102" i="3" s="1"/>
  <c r="I39" i="3"/>
  <c r="F44" i="3"/>
  <c r="F45" i="3" s="1"/>
  <c r="D45" i="3"/>
  <c r="E38" i="3" s="1"/>
  <c r="F98" i="3"/>
  <c r="F99" i="3" s="1"/>
  <c r="G91" i="3"/>
  <c r="C49" i="2"/>
  <c r="D24" i="2"/>
  <c r="D28" i="2"/>
  <c r="D32" i="2"/>
  <c r="D36" i="2"/>
  <c r="D40" i="2"/>
  <c r="D49" i="2"/>
  <c r="B57" i="3"/>
  <c r="B69" i="3" s="1"/>
  <c r="C50" i="2"/>
  <c r="D97" i="3"/>
  <c r="D98" i="3" s="1"/>
  <c r="D41" i="2"/>
  <c r="D26" i="2"/>
  <c r="D30" i="2"/>
  <c r="D34" i="2"/>
  <c r="D38" i="2"/>
  <c r="D42" i="2"/>
  <c r="B49" i="2"/>
  <c r="G92" i="3" l="1"/>
  <c r="G94" i="3"/>
  <c r="G93" i="3"/>
  <c r="G38" i="3"/>
  <c r="G40" i="3"/>
  <c r="G39" i="3"/>
  <c r="E39" i="3"/>
  <c r="E40" i="3"/>
  <c r="E41" i="3"/>
  <c r="D46" i="3"/>
  <c r="F46" i="3"/>
  <c r="G41" i="3"/>
  <c r="D99" i="3"/>
  <c r="E93" i="3"/>
  <c r="E91" i="3"/>
  <c r="E94" i="3"/>
  <c r="E92" i="3"/>
  <c r="G95" i="3" l="1"/>
  <c r="G42" i="3"/>
  <c r="D50" i="3"/>
  <c r="G66" i="3" s="1"/>
  <c r="H66" i="3" s="1"/>
  <c r="E42" i="3"/>
  <c r="D52" i="3"/>
  <c r="E95" i="3"/>
  <c r="D105" i="3"/>
  <c r="D103" i="3"/>
  <c r="G60" i="3" l="1"/>
  <c r="H60" i="3" s="1"/>
  <c r="G65" i="3"/>
  <c r="H65" i="3" s="1"/>
  <c r="G69" i="3"/>
  <c r="H69" i="3" s="1"/>
  <c r="G67" i="3"/>
  <c r="H67" i="3" s="1"/>
  <c r="G71" i="3"/>
  <c r="H71" i="3" s="1"/>
  <c r="G62" i="3"/>
  <c r="H62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<sst xmlns="http://schemas.openxmlformats.org/spreadsheetml/2006/main" count="232" uniqueCount="129">
  <si>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</si>
  <si>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</si>
  <si>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</si>
  <si>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</si>
  <si>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</si>
  <si>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NEVIRAPINE TABLETS 200 MG</t>
  </si>
  <si>
    <t>% age Purity:</t>
  </si>
  <si>
    <t>NDQB201607001</t>
  </si>
  <si>
    <t>Weight (mg):</t>
  </si>
  <si>
    <t>Nevirapine USP</t>
  </si>
  <si>
    <t>Standard Conc (mg/mL):</t>
  </si>
  <si>
    <t>Each tablet contains: Nevirapine USP 200 mg.</t>
  </si>
  <si>
    <t>2016-07-05 11:05:52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</si>
  <si>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</si>
  <si>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</si>
  <si>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</si>
  <si>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</si>
  <si>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</si>
  <si>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</si>
  <si>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</si>
  <si>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</si>
  <si>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</si>
  <si>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</si>
  <si>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</si>
  <si>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</si>
  <si>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</si>
  <si>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</si>
  <si>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</si>
  <si>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</si>
  <si>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</si>
  <si>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</si>
  <si>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</si>
  <si>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</si>
  <si>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</si>
  <si>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</si>
  <si>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</si>
  <si>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</si>
  <si>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</si>
  <si>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</si>
  <si>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</si>
  <si>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</si>
  <si>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</si>
  <si>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</si>
  <si>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</si>
  <si>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</si>
  <si>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</si>
  <si>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</si>
  <si>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</si>
  <si>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</si>
  <si>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</si>
  <si>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</si>
  <si>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</si>
  <si>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</si>
  <si>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</si>
  <si>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</si>
  <si>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</si>
  <si>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</si>
  <si>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</si>
  <si>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</si>
  <si>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</si>
  <si>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</si>
  <si>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</si>
  <si>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</si>
  <si>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</si>
  <si>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</si>
  <si>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</si>
  <si>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</si>
  <si>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</si>
  <si>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</si>
  <si>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</si>
  <si>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</si>
  <si>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</si>
  <si>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</si>
  <si>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</si>
  <si>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</si>
  <si>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</si>
  <si>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</si>
  <si>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</si>
  <si>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</si>
  <si>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</si>
  <si>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</si>
  <si>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</si>
  <si>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</si>
  <si>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</si>
  <si>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</si>
  <si>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</si>
  <si>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</si>
  <si>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</si>
  <si>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</si>
  <si>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</si>
  <si>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</si>
  <si>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</si>
  <si>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</si>
  <si>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</si>
  <si>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</si>
  <si>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</si>
  <si>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</si>
  <si>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</si>
  <si>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</si>
  <si>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</si>
  <si>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</si>
  <si>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</si>
  <si>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</si>
  <si>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</si>
  <si>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</si>
  <si>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</si>
  <si>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</si>
  <si>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</si>
  <si>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</si>
  <si>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</si>
  <si>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</si>
  <si>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</si>
  <si>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</si>
  <si>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</si>
  <si>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</si>
  <si>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</si>
  <si>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</si>
  <si>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</si>
  <si>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</si>
  <si>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</si>
  <si>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</si>
  <si>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</si>
  <si>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</si>
  <si>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</si>
  <si>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</si>
  <si>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Nevirapine </t>
  </si>
  <si>
    <t>Nevirapine</t>
  </si>
  <si>
    <t>N1-4</t>
  </si>
  <si>
    <t>RUTTO/LORNA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</si>
</sst>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9" workbookViewId="0">
      <selection activeCell="C36" sqref="C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11.02/25*5/100</f>
        <v>2.2039999999999997E-2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20316800</v>
      </c>
      <c r="C24" s="18">
        <v>2702.48</v>
      </c>
      <c r="D24" s="19">
        <v>1.1299999999999999</v>
      </c>
      <c r="E24" s="20">
        <v>4.6100000000000003</v>
      </c>
    </row>
    <row r="25" spans="1:6" ht="16.5" customHeight="1" x14ac:dyDescent="0.3">
      <c r="A25" s="17">
        <v>2</v>
      </c>
      <c r="B25" s="18">
        <v>20315937</v>
      </c>
      <c r="C25" s="18">
        <v>2680.87</v>
      </c>
      <c r="D25" s="19">
        <v>1.1499999999999999</v>
      </c>
      <c r="E25" s="19">
        <v>4.6100000000000003</v>
      </c>
    </row>
    <row r="26" spans="1:6" ht="16.5" customHeight="1" x14ac:dyDescent="0.3">
      <c r="A26" s="17">
        <v>3</v>
      </c>
      <c r="B26" s="18">
        <v>20314576</v>
      </c>
      <c r="C26" s="18">
        <v>2675.11</v>
      </c>
      <c r="D26" s="19">
        <v>1.1599999999999999</v>
      </c>
      <c r="E26" s="19">
        <v>4.6100000000000003</v>
      </c>
    </row>
    <row r="27" spans="1:6" ht="16.5" customHeight="1" x14ac:dyDescent="0.3">
      <c r="A27" s="17">
        <v>4</v>
      </c>
      <c r="B27" s="18">
        <v>20325593</v>
      </c>
      <c r="C27" s="18">
        <v>2665.03</v>
      </c>
      <c r="D27" s="19">
        <v>1.1499999999999999</v>
      </c>
      <c r="E27" s="19">
        <v>4.62</v>
      </c>
    </row>
    <row r="28" spans="1:6" ht="16.5" customHeight="1" x14ac:dyDescent="0.3">
      <c r="A28" s="17">
        <v>5</v>
      </c>
      <c r="B28" s="18">
        <v>20293531</v>
      </c>
      <c r="C28" s="18">
        <v>2665.28</v>
      </c>
      <c r="D28" s="19">
        <v>1.1499999999999999</v>
      </c>
      <c r="E28" s="19">
        <v>4.62</v>
      </c>
    </row>
    <row r="29" spans="1:6" ht="16.5" customHeight="1" x14ac:dyDescent="0.3">
      <c r="A29" s="17">
        <v>6</v>
      </c>
      <c r="B29" s="21">
        <v>20226533</v>
      </c>
      <c r="C29" s="21">
        <v>2657.68</v>
      </c>
      <c r="D29" s="22">
        <v>1.1599999999999999</v>
      </c>
      <c r="E29" s="22">
        <v>4.63</v>
      </c>
    </row>
    <row r="30" spans="1:6" ht="16.5" customHeight="1" x14ac:dyDescent="0.3">
      <c r="A30" s="23" t="s">
        <v>18</v>
      </c>
      <c r="B30" s="24">
        <v>20298828.333333332</v>
      </c>
      <c r="C30" s="25">
        <v>2674.4083333333338</v>
      </c>
      <c r="D30" s="26">
        <v>1.1500000000000001</v>
      </c>
      <c r="E30" s="26">
        <v>4.6166666666666671</v>
      </c>
    </row>
    <row r="31" spans="1:6" ht="16.5" customHeight="1" x14ac:dyDescent="0.3">
      <c r="A31" s="27" t="s">
        <v>19</v>
      </c>
      <c r="B31" s="28">
        <f>(STDEV(B24:B29)/B30)</f>
        <v>1.8213934701887449E-3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128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C43" sqref="C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789.26</v>
      </c>
      <c r="D24" s="87">
        <f t="shared" ref="D24:D43" si="0">(C24-$C$46)/$C$46</f>
        <v>-1.7515207003842178E-2</v>
      </c>
      <c r="E24" s="53"/>
    </row>
    <row r="25" spans="1:5" ht="15.75" customHeight="1" x14ac:dyDescent="0.3">
      <c r="C25" s="95">
        <v>789.54</v>
      </c>
      <c r="D25" s="88">
        <f t="shared" si="0"/>
        <v>-1.7166658056677876E-2</v>
      </c>
      <c r="E25" s="53"/>
    </row>
    <row r="26" spans="1:5" ht="15.75" customHeight="1" x14ac:dyDescent="0.3">
      <c r="C26" s="95">
        <v>796.72</v>
      </c>
      <c r="D26" s="88">
        <f t="shared" si="0"/>
        <v>-8.2288671972494537E-3</v>
      </c>
      <c r="E26" s="53"/>
    </row>
    <row r="27" spans="1:5" ht="15.75" customHeight="1" x14ac:dyDescent="0.3">
      <c r="C27" s="95">
        <v>801.12</v>
      </c>
      <c r="D27" s="88">
        <f t="shared" si="0"/>
        <v>-2.7516694560956226E-3</v>
      </c>
      <c r="E27" s="53"/>
    </row>
    <row r="28" spans="1:5" ht="15.75" customHeight="1" x14ac:dyDescent="0.3">
      <c r="C28" s="95">
        <v>787.06</v>
      </c>
      <c r="D28" s="88">
        <f t="shared" si="0"/>
        <v>-2.0253805874419162E-2</v>
      </c>
      <c r="E28" s="53"/>
    </row>
    <row r="29" spans="1:5" ht="15.75" customHeight="1" x14ac:dyDescent="0.3">
      <c r="C29" s="95">
        <v>812.3</v>
      </c>
      <c r="D29" s="88">
        <f t="shared" si="0"/>
        <v>1.1165392077108892E-2</v>
      </c>
      <c r="E29" s="53"/>
    </row>
    <row r="30" spans="1:5" ht="15.75" customHeight="1" x14ac:dyDescent="0.3">
      <c r="C30" s="95">
        <v>805.67</v>
      </c>
      <c r="D30" s="88">
        <f t="shared" si="0"/>
        <v>2.9122509353247884E-3</v>
      </c>
      <c r="E30" s="53"/>
    </row>
    <row r="31" spans="1:5" ht="15.75" customHeight="1" x14ac:dyDescent="0.3">
      <c r="C31" s="95">
        <v>809.06</v>
      </c>
      <c r="D31" s="88">
        <f t="shared" si="0"/>
        <v>7.132182831350131E-3</v>
      </c>
      <c r="E31" s="53"/>
    </row>
    <row r="32" spans="1:5" ht="15.75" customHeight="1" x14ac:dyDescent="0.3">
      <c r="C32" s="95">
        <v>832.44</v>
      </c>
      <c r="D32" s="88">
        <f t="shared" si="0"/>
        <v>3.6236019919572364E-2</v>
      </c>
      <c r="E32" s="53"/>
    </row>
    <row r="33" spans="1:7" ht="15.75" customHeight="1" x14ac:dyDescent="0.3">
      <c r="C33" s="95">
        <v>799.71</v>
      </c>
      <c r="D33" s="88">
        <f t="shared" si="0"/>
        <v>-4.5068623686017059E-3</v>
      </c>
      <c r="E33" s="53"/>
    </row>
    <row r="34" spans="1:7" ht="15.75" customHeight="1" x14ac:dyDescent="0.3">
      <c r="C34" s="95">
        <v>810.77</v>
      </c>
      <c r="D34" s="88">
        <f t="shared" si="0"/>
        <v>9.260821044389517E-3</v>
      </c>
      <c r="E34" s="53"/>
    </row>
    <row r="35" spans="1:7" ht="15.75" customHeight="1" x14ac:dyDescent="0.3">
      <c r="C35" s="95">
        <v>799.66</v>
      </c>
      <c r="D35" s="88">
        <f t="shared" si="0"/>
        <v>-4.5691032520239934E-3</v>
      </c>
      <c r="E35" s="53"/>
    </row>
    <row r="36" spans="1:7" ht="15.75" customHeight="1" x14ac:dyDescent="0.3">
      <c r="C36" s="95">
        <v>809.5</v>
      </c>
      <c r="D36" s="88">
        <f t="shared" si="0"/>
        <v>7.6799026054655845E-3</v>
      </c>
      <c r="E36" s="53"/>
    </row>
    <row r="37" spans="1:7" ht="15.75" customHeight="1" x14ac:dyDescent="0.3">
      <c r="C37" s="95">
        <v>811.84</v>
      </c>
      <c r="D37" s="88">
        <f t="shared" si="0"/>
        <v>1.0592775949624721E-2</v>
      </c>
      <c r="E37" s="53"/>
    </row>
    <row r="38" spans="1:7" ht="15.75" customHeight="1" x14ac:dyDescent="0.3">
      <c r="C38" s="95">
        <v>810.65</v>
      </c>
      <c r="D38" s="88">
        <f t="shared" si="0"/>
        <v>9.1114429241762242E-3</v>
      </c>
      <c r="E38" s="53"/>
    </row>
    <row r="39" spans="1:7" ht="15.75" customHeight="1" x14ac:dyDescent="0.3">
      <c r="C39" s="95">
        <v>797.52</v>
      </c>
      <c r="D39" s="88">
        <f t="shared" si="0"/>
        <v>-7.2330130624942623E-3</v>
      </c>
      <c r="E39" s="53"/>
    </row>
    <row r="40" spans="1:7" ht="15.75" customHeight="1" x14ac:dyDescent="0.3">
      <c r="C40" s="95">
        <v>797.52</v>
      </c>
      <c r="D40" s="88">
        <f t="shared" si="0"/>
        <v>-7.2330130624942623E-3</v>
      </c>
      <c r="E40" s="53"/>
    </row>
    <row r="41" spans="1:7" ht="15.75" customHeight="1" x14ac:dyDescent="0.3">
      <c r="C41" s="95">
        <v>805.88</v>
      </c>
      <c r="D41" s="88">
        <f t="shared" si="0"/>
        <v>3.173662645698086E-3</v>
      </c>
      <c r="E41" s="53"/>
    </row>
    <row r="42" spans="1:7" ht="15.75" customHeight="1" x14ac:dyDescent="0.3">
      <c r="C42" s="95">
        <v>799.44</v>
      </c>
      <c r="D42" s="88">
        <f t="shared" si="0"/>
        <v>-4.8429631390815792E-3</v>
      </c>
      <c r="E42" s="53"/>
    </row>
    <row r="43" spans="1:7" ht="16.5" customHeight="1" x14ac:dyDescent="0.3">
      <c r="C43" s="96">
        <v>800.95</v>
      </c>
      <c r="D43" s="89">
        <f t="shared" si="0"/>
        <v>-2.9632884597310615E-3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16066.61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803.33050000000003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803.33050000000003</v>
      </c>
      <c r="C49" s="93">
        <f>-IF(C46&lt;=80,10%,IF(C46&lt;250,7.5%,5%))</f>
        <v>-0.05</v>
      </c>
      <c r="D49" s="81">
        <f>IF(C46&lt;=80,C46*0.9,IF(C46&lt;250,C46*0.925,C46*0.95))</f>
        <v>763.16397499999994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843.49702500000012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" zoomScale="50" zoomScaleNormal="40" zoomScalePageLayoutView="50" workbookViewId="0">
      <selection activeCell="B15" sqref="B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125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>
        <v>42600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42601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126</v>
      </c>
      <c r="C26" s="324"/>
    </row>
    <row r="27" spans="1:14" ht="26.25" customHeight="1" x14ac:dyDescent="0.4">
      <c r="A27" s="109" t="s">
        <v>48</v>
      </c>
      <c r="B27" s="322" t="s">
        <v>127</v>
      </c>
      <c r="C27" s="322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20204051</v>
      </c>
      <c r="E38" s="133">
        <f>IF(ISBLANK(D38),"-",$D$48/$D$45*D38)</f>
        <v>23195830.685099602</v>
      </c>
      <c r="F38" s="132">
        <v>23941100</v>
      </c>
      <c r="G38" s="134">
        <f>IF(ISBLANK(F38),"-",$D$48/$F$45*F38)</f>
        <v>23682449.756736826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20348416</v>
      </c>
      <c r="E39" s="138">
        <f>IF(ISBLANK(D39),"-",$D$48/$D$45*D39)</f>
        <v>23361572.995730989</v>
      </c>
      <c r="F39" s="137">
        <v>23844859</v>
      </c>
      <c r="G39" s="139">
        <f>IF(ISBLANK(F39),"-",$D$48/$F$45*F39)</f>
        <v>23587248.506709129</v>
      </c>
      <c r="I39" s="307">
        <f>ABS((F43/D43*D42)-F42)/D42</f>
        <v>1.8522096814773809E-2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20193409</v>
      </c>
      <c r="E40" s="138">
        <f>IF(ISBLANK(D40),"-",$D$48/$D$45*D40)</f>
        <v>23183612.836800225</v>
      </c>
      <c r="F40" s="137">
        <v>23841882</v>
      </c>
      <c r="G40" s="139">
        <f>IF(ISBLANK(F40),"-",$D$48/$F$45*F40)</f>
        <v>23584303.669048127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20248625.333333332</v>
      </c>
      <c r="E42" s="148">
        <f>AVERAGE(E38:E41)</f>
        <v>23247005.50587694</v>
      </c>
      <c r="F42" s="147">
        <f>AVERAGE(F38:F41)</f>
        <v>23875947</v>
      </c>
      <c r="G42" s="149">
        <f>AVERAGE(G38:G41)</f>
        <v>23618000.644164696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11.02</v>
      </c>
      <c r="E43" s="140"/>
      <c r="F43" s="152">
        <v>12.79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11.02</v>
      </c>
      <c r="E44" s="155"/>
      <c r="F44" s="154">
        <f>F43*$B$34</f>
        <v>12.79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10.887759999999998</v>
      </c>
      <c r="E45" s="158"/>
      <c r="F45" s="157">
        <f>F44*$B$30/100</f>
        <v>12.636519999999997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2.1775519999999996E-2</v>
      </c>
      <c r="E46" s="160"/>
      <c r="F46" s="161">
        <f>F45/$B$45</f>
        <v>2.5273039999999993E-2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12.5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23432503.075020816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9.2016344493859349E-3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Nevirapine USP 200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Nevirapine </v>
      </c>
      <c r="H56" s="179"/>
    </row>
    <row r="57" spans="1:12" ht="18.75" x14ac:dyDescent="0.3">
      <c r="A57" s="176" t="s">
        <v>88</v>
      </c>
      <c r="B57" s="268">
        <f>Uniformity!C46</f>
        <v>803.33050000000003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0" t="s">
        <v>94</v>
      </c>
      <c r="D60" s="313">
        <v>795.46</v>
      </c>
      <c r="E60" s="182">
        <v>1</v>
      </c>
      <c r="F60" s="183">
        <v>20807060</v>
      </c>
      <c r="G60" s="269">
        <f>IF(ISBLANK(F60),"-",(F60/$D$50*$D$47*$B$68)*($B$57/$D$60))</f>
        <v>186.82143760714067</v>
      </c>
      <c r="H60" s="184">
        <f t="shared" ref="H60:H71" si="0">IF(ISBLANK(F60),"-",G60/$B$56)</f>
        <v>0.93410718803570336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1"/>
      <c r="D61" s="314"/>
      <c r="E61" s="185">
        <v>2</v>
      </c>
      <c r="F61" s="137">
        <v>20762775</v>
      </c>
      <c r="G61" s="270">
        <f>IF(ISBLANK(F61),"-",(F61/$D$50*$D$47*$B$68)*($B$57/$D$60))</f>
        <v>186.4238135620121</v>
      </c>
      <c r="H61" s="186">
        <f t="shared" si="0"/>
        <v>0.93211906781006049</v>
      </c>
      <c r="L61" s="112"/>
    </row>
    <row r="62" spans="1:12" s="14" customFormat="1" ht="26.25" customHeight="1" x14ac:dyDescent="0.4">
      <c r="A62" s="124" t="s">
        <v>96</v>
      </c>
      <c r="B62" s="125">
        <v>3</v>
      </c>
      <c r="C62" s="311"/>
      <c r="D62" s="314"/>
      <c r="E62" s="185">
        <v>3</v>
      </c>
      <c r="F62" s="187">
        <v>20878226</v>
      </c>
      <c r="G62" s="270">
        <f>IF(ISBLANK(F62),"-",(F62/$D$50*$D$47*$B$68)*($B$57/$D$60))</f>
        <v>187.46041949255601</v>
      </c>
      <c r="H62" s="186">
        <f t="shared" si="0"/>
        <v>0.93730209746278004</v>
      </c>
      <c r="L62" s="112"/>
    </row>
    <row r="63" spans="1:12" ht="27" customHeight="1" x14ac:dyDescent="0.4">
      <c r="A63" s="124" t="s">
        <v>97</v>
      </c>
      <c r="B63" s="125">
        <v>25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799.55</v>
      </c>
      <c r="E64" s="182">
        <v>1</v>
      </c>
      <c r="F64" s="183">
        <v>21242545</v>
      </c>
      <c r="G64" s="271">
        <f>IF(ISBLANK(F64),"-",(F64/$D$50*$D$47*$B$68)*($B$57/$D$64))</f>
        <v>189.75588568983255</v>
      </c>
      <c r="H64" s="190">
        <f t="shared" si="0"/>
        <v>0.94877942844916274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21169121</v>
      </c>
      <c r="G65" s="272">
        <f>IF(ISBLANK(F65),"-",(F65/$D$50*$D$47*$B$68)*($B$57/$D$64))</f>
        <v>189.10000212452101</v>
      </c>
      <c r="H65" s="191">
        <f t="shared" si="0"/>
        <v>0.94550001062260502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21167305</v>
      </c>
      <c r="G66" s="272">
        <f>IF(ISBLANK(F66),"-",(F66/$D$50*$D$47*$B$68)*($B$57/$D$64))</f>
        <v>189.08378011871088</v>
      </c>
      <c r="H66" s="191">
        <f t="shared" si="0"/>
        <v>0.94541890059355438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8333.3333333333339</v>
      </c>
      <c r="C68" s="310" t="s">
        <v>104</v>
      </c>
      <c r="D68" s="313">
        <v>801.22</v>
      </c>
      <c r="E68" s="182">
        <v>1</v>
      </c>
      <c r="F68" s="183">
        <v>20791731</v>
      </c>
      <c r="G68" s="271">
        <f>IF(ISBLANK(F68),"-",(F68/$D$50*$D$47*$B$68)*($B$57/$D$68))</f>
        <v>185.34172560362558</v>
      </c>
      <c r="H68" s="186">
        <f t="shared" si="0"/>
        <v>0.92670862801812792</v>
      </c>
    </row>
    <row r="69" spans="1:8" ht="27" customHeight="1" x14ac:dyDescent="0.4">
      <c r="A69" s="172" t="s">
        <v>105</v>
      </c>
      <c r="B69" s="194">
        <f>(D47*B68)/B56*B57</f>
        <v>836.80260416666692</v>
      </c>
      <c r="C69" s="311"/>
      <c r="D69" s="314"/>
      <c r="E69" s="185">
        <v>2</v>
      </c>
      <c r="F69" s="137">
        <v>20650951</v>
      </c>
      <c r="G69" s="272">
        <f>IF(ISBLANK(F69),"-",(F69/$D$50*$D$47*$B$68)*($B$57/$D$68))</f>
        <v>184.08678400542587</v>
      </c>
      <c r="H69" s="186">
        <f t="shared" si="0"/>
        <v>0.92043392002712932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20792337</v>
      </c>
      <c r="G70" s="272">
        <f>IF(ISBLANK(F70),"-",(F70/$D$50*$D$47*$B$68)*($B$57/$D$68))</f>
        <v>185.34712761107346</v>
      </c>
      <c r="H70" s="186">
        <f t="shared" si="0"/>
        <v>0.92673563805536729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187.04677509054423</v>
      </c>
      <c r="H72" s="199">
        <f>AVERAGE(H60:H71)</f>
        <v>0.93523387545272108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1.0502351615468574E-2</v>
      </c>
      <c r="H73" s="274">
        <f>STDEV(H60:H71)/H72</f>
        <v>1.0502351615468567E-2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 xml:space="preserve">Nevirapine </v>
      </c>
      <c r="D76" s="297"/>
      <c r="E76" s="205" t="s">
        <v>108</v>
      </c>
      <c r="F76" s="205"/>
      <c r="G76" s="206">
        <f>H72</f>
        <v>0.93523387545272108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Nevirapine</v>
      </c>
      <c r="C79" s="320"/>
    </row>
    <row r="80" spans="1:8" ht="26.25" customHeight="1" x14ac:dyDescent="0.4">
      <c r="A80" s="109" t="s">
        <v>48</v>
      </c>
      <c r="B80" s="320" t="str">
        <f>B27</f>
        <v>N1-4</v>
      </c>
      <c r="C80" s="320"/>
    </row>
    <row r="81" spans="1:12" ht="27" customHeight="1" x14ac:dyDescent="0.4">
      <c r="A81" s="109" t="s">
        <v>6</v>
      </c>
      <c r="B81" s="208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12273575</v>
      </c>
      <c r="E91" s="133">
        <f>IF(ISBLANK(D91),"-",$D$101/$D$98*D91)</f>
        <v>12525354.669422872</v>
      </c>
      <c r="F91" s="132">
        <v>14172625</v>
      </c>
      <c r="G91" s="134">
        <f>IF(ISBLANK(F91),"-",$D$101/$F$98*F91)</f>
        <v>12461786.24424376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12200545</v>
      </c>
      <c r="E92" s="138">
        <f>IF(ISBLANK(D92),"-",$D$101/$D$98*D92)</f>
        <v>12450826.53466931</v>
      </c>
      <c r="F92" s="137">
        <v>14147024</v>
      </c>
      <c r="G92" s="139">
        <f>IF(ISBLANK(F92),"-",$D$101/$F$98*F92)</f>
        <v>12439275.651489144</v>
      </c>
      <c r="I92" s="307">
        <f>ABS((F96/D96*D95)-F95)/D95</f>
        <v>2.932297945890019E-3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12203698</v>
      </c>
      <c r="E93" s="138">
        <f>IF(ISBLANK(D93),"-",$D$101/$D$98*D93)</f>
        <v>12454044.215196189</v>
      </c>
      <c r="F93" s="137">
        <v>14141702</v>
      </c>
      <c r="G93" s="139">
        <f>IF(ISBLANK(F93),"-",$D$101/$F$98*F93)</f>
        <v>12434596.093087517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12225939.333333334</v>
      </c>
      <c r="E95" s="148">
        <f>AVERAGE(E91:E94)</f>
        <v>12476741.806429455</v>
      </c>
      <c r="F95" s="218">
        <f>AVERAGE(F91:F94)</f>
        <v>14153783.666666666</v>
      </c>
      <c r="G95" s="219">
        <f>AVERAGE(G91:G94)</f>
        <v>12445219.329606807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11.02</v>
      </c>
      <c r="E96" s="140"/>
      <c r="F96" s="152">
        <v>12.79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11.02</v>
      </c>
      <c r="E97" s="155"/>
      <c r="F97" s="154">
        <f>F96*$B$87</f>
        <v>12.79</v>
      </c>
    </row>
    <row r="98" spans="1:10" ht="19.5" customHeight="1" x14ac:dyDescent="0.3">
      <c r="A98" s="124" t="s">
        <v>76</v>
      </c>
      <c r="B98" s="224">
        <f>(B97/B96)*(B95/B94)*(B93/B92)*(B91/B90)*B89</f>
        <v>833.33333333333337</v>
      </c>
      <c r="C98" s="222" t="s">
        <v>115</v>
      </c>
      <c r="D98" s="225">
        <f>D97*$B$83/100</f>
        <v>10.887759999999998</v>
      </c>
      <c r="E98" s="158"/>
      <c r="F98" s="157">
        <f>F97*$B$83/100</f>
        <v>12.636519999999997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1.3065311999999997E-2</v>
      </c>
      <c r="E99" s="158"/>
      <c r="F99" s="161">
        <f>F98/$B$98</f>
        <v>1.5163823999999996E-2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1.3333333333333332E-2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11.111111111111111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11.111111111111111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12460980.568018131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2.6526732577465796E-3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3</v>
      </c>
      <c r="C108" s="243">
        <v>1</v>
      </c>
      <c r="D108" s="244">
        <v>11485902</v>
      </c>
      <c r="E108" s="275">
        <f t="shared" ref="E108:E113" si="1">IF(ISBLANK(D108),"-",D108/$D$103*$D$100*$B$116)</f>
        <v>184.34989024024756</v>
      </c>
      <c r="F108" s="245">
        <f t="shared" ref="F108:F113" si="2">IF(ISBLANK(D108), "-", E108/$B$56)</f>
        <v>0.92174945120123786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11631586</v>
      </c>
      <c r="E109" s="276">
        <f t="shared" si="1"/>
        <v>186.68813319319634</v>
      </c>
      <c r="F109" s="246">
        <f t="shared" si="2"/>
        <v>0.93344066596598163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11469071</v>
      </c>
      <c r="E110" s="276">
        <f t="shared" si="1"/>
        <v>184.07975098582651</v>
      </c>
      <c r="F110" s="246">
        <f t="shared" si="2"/>
        <v>0.92039875492913259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11278939</v>
      </c>
      <c r="E111" s="276">
        <f t="shared" si="1"/>
        <v>181.0281131317721</v>
      </c>
      <c r="F111" s="246">
        <f t="shared" si="2"/>
        <v>0.90514056565886047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11701946</v>
      </c>
      <c r="E112" s="276">
        <f t="shared" si="1"/>
        <v>187.81741831832659</v>
      </c>
      <c r="F112" s="246">
        <f t="shared" si="2"/>
        <v>0.93908709159163295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11412359</v>
      </c>
      <c r="E113" s="277">
        <f t="shared" si="1"/>
        <v>183.16951764278517</v>
      </c>
      <c r="F113" s="249">
        <f t="shared" si="2"/>
        <v>0.91584758821392587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184.52213725202571</v>
      </c>
      <c r="F115" s="252">
        <f>AVERAGE(F108:F113)</f>
        <v>0.92261068626012854</v>
      </c>
    </row>
    <row r="116" spans="1:10" ht="27" customHeight="1" x14ac:dyDescent="0.4">
      <c r="A116" s="124" t="s">
        <v>103</v>
      </c>
      <c r="B116" s="156">
        <f>(B115/B114)*(B113/B112)*(B111/B110)*(B109/B108)*B107</f>
        <v>15000.000000000002</v>
      </c>
      <c r="C116" s="253"/>
      <c r="D116" s="216" t="s">
        <v>84</v>
      </c>
      <c r="E116" s="254">
        <f>STDEV(E108:E113)/E115</f>
        <v>1.3233464226029617E-2</v>
      </c>
      <c r="F116" s="254">
        <f>STDEV(F108:F113)/F115</f>
        <v>1.3233464226029616E-2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 xml:space="preserve">Nevirapine </v>
      </c>
      <c r="D120" s="297"/>
      <c r="E120" s="205" t="s">
        <v>124</v>
      </c>
      <c r="F120" s="205"/>
      <c r="G120" s="206">
        <f>F115</f>
        <v>0.92261068626012854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Nevirapine</vt:lpstr>
      <vt:lpstr>Nevirapine!Print_Area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2016-08-22T05:13:51Z</cp:lastPrinted>
  <dcterms:created xsi:type="dcterms:W3CDTF">2005-07-05T10:19:27Z</dcterms:created>
  <dcterms:modified xsi:type="dcterms:W3CDTF">2016-09-13T12:15:52Z</dcterms:modified>
</cp:coreProperties>
</file>