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7620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2">Nevirapine!$A$1:$I$124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1" l="1"/>
  <c r="C120" i="3"/>
  <c r="B116" i="3"/>
  <c r="D100" i="3" s="1"/>
  <c r="D101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6" i="2"/>
  <c r="D50" i="2" s="1"/>
  <c r="C45" i="2"/>
  <c r="D40" i="2"/>
  <c r="D36" i="2"/>
  <c r="D32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97" i="3"/>
  <c r="D98" i="3" s="1"/>
  <c r="B69" i="3"/>
  <c r="I39" i="3"/>
  <c r="D45" i="3"/>
  <c r="D46" i="3" s="1"/>
  <c r="F98" i="3"/>
  <c r="F99" i="3" s="1"/>
  <c r="D102" i="3"/>
  <c r="D49" i="3"/>
  <c r="D29" i="2"/>
  <c r="D33" i="2"/>
  <c r="D37" i="2"/>
  <c r="D41" i="2"/>
  <c r="C50" i="2"/>
  <c r="D27" i="2"/>
  <c r="D31" i="2"/>
  <c r="D35" i="2"/>
  <c r="D39" i="2"/>
  <c r="D43" i="2"/>
  <c r="C49" i="2"/>
  <c r="F44" i="3"/>
  <c r="F45" i="3" s="1"/>
  <c r="F46" i="3" s="1"/>
  <c r="D26" i="2"/>
  <c r="D30" i="2"/>
  <c r="D34" i="2"/>
  <c r="D38" i="2"/>
  <c r="D42" i="2"/>
  <c r="B49" i="2"/>
  <c r="G92" i="3" l="1"/>
  <c r="G91" i="3"/>
  <c r="D99" i="3"/>
  <c r="E91" i="3"/>
  <c r="E94" i="3"/>
  <c r="E92" i="3"/>
  <c r="E93" i="3"/>
  <c r="G38" i="3"/>
  <c r="E41" i="3"/>
  <c r="E40" i="3"/>
  <c r="G40" i="3"/>
  <c r="E38" i="3"/>
  <c r="G93" i="3"/>
  <c r="E39" i="3"/>
  <c r="G41" i="3"/>
  <c r="G94" i="3"/>
  <c r="G39" i="3"/>
  <c r="E95" i="3" l="1"/>
  <c r="G95" i="3"/>
  <c r="D103" i="3"/>
  <c r="E112" i="3" s="1"/>
  <c r="F112" i="3" s="1"/>
  <c r="D105" i="3"/>
  <c r="G42" i="3"/>
  <c r="D50" i="3"/>
  <c r="G68" i="3" s="1"/>
  <c r="H68" i="3" s="1"/>
  <c r="E42" i="3"/>
  <c r="D52" i="3"/>
  <c r="D104" i="3" l="1"/>
  <c r="E113" i="3"/>
  <c r="F113" i="3" s="1"/>
  <c r="E108" i="3"/>
  <c r="E109" i="3"/>
  <c r="F109" i="3" s="1"/>
  <c r="E110" i="3"/>
  <c r="F110" i="3" s="1"/>
  <c r="E111" i="3"/>
  <c r="F111" i="3" s="1"/>
  <c r="G66" i="3"/>
  <c r="H66" i="3" s="1"/>
  <c r="G65" i="3"/>
  <c r="H65" i="3" s="1"/>
  <c r="G62" i="3"/>
  <c r="H62" i="3" s="1"/>
  <c r="G69" i="3"/>
  <c r="H69" i="3" s="1"/>
  <c r="G71" i="3"/>
  <c r="H71" i="3" s="1"/>
  <c r="G60" i="3"/>
  <c r="H60" i="3" s="1"/>
  <c r="G61" i="3"/>
  <c r="H61" i="3" s="1"/>
  <c r="G70" i="3"/>
  <c r="H70" i="3" s="1"/>
  <c r="G67" i="3"/>
  <c r="H67" i="3" s="1"/>
  <c r="G64" i="3"/>
  <c r="H64" i="3" s="1"/>
  <c r="G63" i="3"/>
  <c r="H63" i="3" s="1"/>
  <c r="D51" i="3"/>
  <c r="E117" i="3" l="1"/>
  <c r="E115" i="3"/>
  <c r="E116" i="3" s="1"/>
  <c r="F108" i="3"/>
  <c r="F117" i="3" s="1"/>
  <c r="G72" i="3"/>
  <c r="G73" i="3" s="1"/>
  <c r="G74" i="3"/>
  <c r="H74" i="3"/>
  <c r="H72" i="3"/>
  <c r="F115" i="3" l="1"/>
  <c r="G120" i="3" s="1"/>
  <c r="G76" i="3"/>
  <c r="H73" i="3"/>
  <c r="F116" i="3" l="1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<sst xmlns="http://schemas.openxmlformats.org/spreadsheetml/2006/main" count="232" uniqueCount="129">
  <si>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</si>
  <si>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</si>
  <si>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</si>
  <si>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</si>
  <si>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</si>
  <si>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>NEVIRAPINE TABLETS 200 MG</t>
  </si>
  <si>
    <t>% age Purity:</t>
  </si>
  <si>
    <t>NDQB201607002</t>
  </si>
  <si>
    <t>Weight (mg):</t>
  </si>
  <si>
    <t>Nevirapine USP</t>
  </si>
  <si>
    <t>Standard Conc (mg/mL):</t>
  </si>
  <si>
    <t>Each tablet contains: Nevirapine USP 200 mg.</t>
  </si>
  <si>
    <t>2016-07-05 11:11:05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</si>
  <si>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</si>
  <si>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</si>
  <si>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</si>
  <si>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</si>
  <si>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</si>
  <si>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</si>
  <si>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</si>
  <si>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</si>
  <si>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</si>
  <si>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</si>
  <si>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</si>
  <si>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</si>
  <si>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</si>
  <si>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</si>
  <si>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</si>
  <si>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</si>
  <si>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</si>
  <si>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</si>
  <si>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</si>
  <si>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</si>
  <si>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</si>
  <si>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</si>
  <si>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</si>
  <si>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</si>
  <si>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</si>
  <si>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</si>
  <si>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</si>
  <si>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</si>
  <si>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</si>
  <si>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</si>
  <si>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</si>
  <si>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</si>
  <si>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</si>
  <si>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</si>
  <si>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</si>
  <si>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</si>
  <si>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</si>
  <si>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</si>
  <si>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</si>
  <si>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</si>
  <si>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</si>
  <si>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</si>
  <si>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</si>
  <si>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</si>
  <si>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</si>
  <si>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</si>
  <si>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</si>
  <si>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</si>
  <si>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</si>
  <si>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</si>
  <si>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</si>
  <si>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</si>
  <si>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</si>
  <si>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</si>
  <si>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</si>
  <si>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</si>
  <si>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</si>
  <si>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</si>
  <si>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</si>
  <si>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</si>
  <si>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</si>
  <si>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</si>
  <si>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</si>
  <si>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</si>
  <si>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</si>
  <si>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</si>
  <si>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</si>
  <si>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</si>
  <si>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</si>
  <si>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</si>
  <si>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</si>
  <si>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</si>
  <si>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</si>
  <si>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</si>
  <si>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</si>
  <si>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</si>
  <si>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</si>
  <si>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</si>
  <si>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</si>
  <si>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</si>
  <si>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</si>
  <si>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</si>
  <si>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</si>
  <si>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</si>
  <si>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</si>
  <si>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</si>
  <si>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</si>
  <si>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</si>
  <si>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</si>
  <si>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</si>
  <si>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</si>
  <si>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</si>
  <si>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</si>
  <si>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</si>
  <si>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</si>
  <si>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</si>
  <si>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</si>
  <si>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</si>
  <si>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</si>
  <si>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</si>
  <si>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</si>
  <si>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</si>
  <si>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</si>
  <si>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</si>
  <si>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</si>
  <si>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</si>
  <si>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</si>
  <si>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</si>
  <si>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</si>
  <si>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</si>
  <si>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</si>
  <si>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</si>
  <si>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Nevirapine </t>
  </si>
  <si>
    <t>RUTTO/JOYFRIDA</t>
  </si>
  <si>
    <t>Nevirapine</t>
  </si>
  <si>
    <t>N1-4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</si>
</sst>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B24" sqref="B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11.02/25*5/100</f>
        <v>2.2039999999999997E-2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20316800</v>
      </c>
      <c r="C24" s="18">
        <v>2702.48</v>
      </c>
      <c r="D24" s="19">
        <v>1.1299999999999999</v>
      </c>
      <c r="E24" s="20">
        <v>4.6100000000000003</v>
      </c>
    </row>
    <row r="25" spans="1:6" ht="16.5" customHeight="1" x14ac:dyDescent="0.3">
      <c r="A25" s="17">
        <v>2</v>
      </c>
      <c r="B25" s="18">
        <v>20315937</v>
      </c>
      <c r="C25" s="18">
        <v>2680.87</v>
      </c>
      <c r="D25" s="19">
        <v>1.1499999999999999</v>
      </c>
      <c r="E25" s="19">
        <v>4.6100000000000003</v>
      </c>
    </row>
    <row r="26" spans="1:6" ht="16.5" customHeight="1" x14ac:dyDescent="0.3">
      <c r="A26" s="17">
        <v>3</v>
      </c>
      <c r="B26" s="18">
        <v>20314576</v>
      </c>
      <c r="C26" s="18">
        <v>2675.11</v>
      </c>
      <c r="D26" s="19">
        <v>1.1599999999999999</v>
      </c>
      <c r="E26" s="19">
        <v>4.6100000000000003</v>
      </c>
    </row>
    <row r="27" spans="1:6" ht="16.5" customHeight="1" x14ac:dyDescent="0.3">
      <c r="A27" s="17">
        <v>4</v>
      </c>
      <c r="B27" s="18">
        <v>20325593</v>
      </c>
      <c r="C27" s="18">
        <v>2665.03</v>
      </c>
      <c r="D27" s="19">
        <v>1.1499999999999999</v>
      </c>
      <c r="E27" s="19">
        <v>4.62</v>
      </c>
    </row>
    <row r="28" spans="1:6" ht="16.5" customHeight="1" x14ac:dyDescent="0.3">
      <c r="A28" s="17">
        <v>5</v>
      </c>
      <c r="B28" s="18">
        <v>20293531</v>
      </c>
      <c r="C28" s="18">
        <v>2665.28</v>
      </c>
      <c r="D28" s="19">
        <v>1.1499999999999999</v>
      </c>
      <c r="E28" s="19">
        <v>4.62</v>
      </c>
    </row>
    <row r="29" spans="1:6" ht="16.5" customHeight="1" x14ac:dyDescent="0.3">
      <c r="A29" s="17">
        <v>6</v>
      </c>
      <c r="B29" s="21">
        <v>20226533</v>
      </c>
      <c r="C29" s="21">
        <v>2657.68</v>
      </c>
      <c r="D29" s="22">
        <v>1.1599999999999999</v>
      </c>
      <c r="E29" s="22">
        <v>4.63</v>
      </c>
    </row>
    <row r="30" spans="1:6" ht="16.5" customHeight="1" x14ac:dyDescent="0.3">
      <c r="A30" s="23" t="s">
        <v>18</v>
      </c>
      <c r="B30" s="24">
        <f>AVERAGE(B24:B29)</f>
        <v>20298828.333333332</v>
      </c>
      <c r="C30" s="25">
        <f>AVERAGE(C24:C29)</f>
        <v>2674.4083333333338</v>
      </c>
      <c r="D30" s="26">
        <f>AVERAGE(D24:D29)</f>
        <v>1.1500000000000001</v>
      </c>
      <c r="E30" s="26">
        <f>AVERAGE(E24:E29)</f>
        <v>4.6166666666666671</v>
      </c>
    </row>
    <row r="31" spans="1:6" ht="16.5" customHeight="1" x14ac:dyDescent="0.3">
      <c r="A31" s="27" t="s">
        <v>19</v>
      </c>
      <c r="B31" s="28">
        <f>(STDEV(B24:B29)/B30)</f>
        <v>1.8213934701887449E-3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126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787.31</v>
      </c>
      <c r="D24" s="87">
        <f t="shared" ref="D24:D43" si="0">(C24-$C$46)/$C$46</f>
        <v>-1.4835465973277135E-2</v>
      </c>
      <c r="E24" s="53"/>
    </row>
    <row r="25" spans="1:5" ht="15.75" customHeight="1" x14ac:dyDescent="0.3">
      <c r="C25" s="95">
        <v>822.82</v>
      </c>
      <c r="D25" s="88">
        <f t="shared" si="0"/>
        <v>2.9598356286428741E-2</v>
      </c>
      <c r="E25" s="53"/>
    </row>
    <row r="26" spans="1:5" ht="15.75" customHeight="1" x14ac:dyDescent="0.3">
      <c r="C26" s="95">
        <v>802.16</v>
      </c>
      <c r="D26" s="88">
        <f t="shared" si="0"/>
        <v>3.7464056278670868E-3</v>
      </c>
      <c r="E26" s="53"/>
    </row>
    <row r="27" spans="1:5" ht="15.75" customHeight="1" x14ac:dyDescent="0.3">
      <c r="C27" s="95">
        <v>814.73</v>
      </c>
      <c r="D27" s="88">
        <f t="shared" si="0"/>
        <v>1.9475303003381125E-2</v>
      </c>
      <c r="E27" s="53"/>
    </row>
    <row r="28" spans="1:5" ht="15.75" customHeight="1" x14ac:dyDescent="0.3">
      <c r="C28" s="95">
        <v>788.87</v>
      </c>
      <c r="D28" s="88">
        <f t="shared" si="0"/>
        <v>-1.2883430976793227E-2</v>
      </c>
      <c r="E28" s="53"/>
    </row>
    <row r="29" spans="1:5" ht="15.75" customHeight="1" x14ac:dyDescent="0.3">
      <c r="C29" s="95">
        <v>797.42</v>
      </c>
      <c r="D29" s="88">
        <f t="shared" si="0"/>
        <v>-2.1847776306799602E-3</v>
      </c>
      <c r="E29" s="53"/>
    </row>
    <row r="30" spans="1:5" ht="15.75" customHeight="1" x14ac:dyDescent="0.3">
      <c r="C30" s="95">
        <v>794.19</v>
      </c>
      <c r="D30" s="88">
        <f t="shared" si="0"/>
        <v>-6.2264911169893182E-3</v>
      </c>
      <c r="E30" s="53"/>
    </row>
    <row r="31" spans="1:5" ht="15.75" customHeight="1" x14ac:dyDescent="0.3">
      <c r="C31" s="95">
        <v>788.43</v>
      </c>
      <c r="D31" s="88">
        <f t="shared" si="0"/>
        <v>-1.3434004950160531E-2</v>
      </c>
      <c r="E31" s="53"/>
    </row>
    <row r="32" spans="1:5" ht="15.75" customHeight="1" x14ac:dyDescent="0.3">
      <c r="C32" s="95">
        <v>803.99</v>
      </c>
      <c r="D32" s="88">
        <f t="shared" si="0"/>
        <v>6.0362928352808674E-3</v>
      </c>
      <c r="E32" s="53"/>
    </row>
    <row r="33" spans="1:7" ht="15.75" customHeight="1" x14ac:dyDescent="0.3">
      <c r="C33" s="95">
        <v>796.03</v>
      </c>
      <c r="D33" s="88">
        <f t="shared" si="0"/>
        <v>-3.924090864726437E-3</v>
      </c>
      <c r="E33" s="53"/>
    </row>
    <row r="34" spans="1:7" ht="15.75" customHeight="1" x14ac:dyDescent="0.3">
      <c r="C34" s="95">
        <v>791.16</v>
      </c>
      <c r="D34" s="88">
        <f t="shared" si="0"/>
        <v>-1.0017943706313797E-2</v>
      </c>
      <c r="E34" s="53"/>
    </row>
    <row r="35" spans="1:7" ht="15.75" customHeight="1" x14ac:dyDescent="0.3">
      <c r="C35" s="95">
        <v>787.05</v>
      </c>
      <c r="D35" s="88">
        <f t="shared" si="0"/>
        <v>-1.5160805139357763E-2</v>
      </c>
      <c r="E35" s="53"/>
    </row>
    <row r="36" spans="1:7" ht="15.75" customHeight="1" x14ac:dyDescent="0.3">
      <c r="C36" s="95">
        <v>795.85</v>
      </c>
      <c r="D36" s="88">
        <f t="shared" si="0"/>
        <v>-4.1493256720129702E-3</v>
      </c>
      <c r="E36" s="53"/>
    </row>
    <row r="37" spans="1:7" ht="15.75" customHeight="1" x14ac:dyDescent="0.3">
      <c r="C37" s="95">
        <v>818.25</v>
      </c>
      <c r="D37" s="88">
        <f t="shared" si="0"/>
        <v>2.3879894790318986E-2</v>
      </c>
      <c r="E37" s="53"/>
    </row>
    <row r="38" spans="1:7" ht="15.75" customHeight="1" x14ac:dyDescent="0.3">
      <c r="C38" s="95">
        <v>797.92</v>
      </c>
      <c r="D38" s="88">
        <f t="shared" si="0"/>
        <v>-1.5591253882171927E-3</v>
      </c>
      <c r="E38" s="53"/>
    </row>
    <row r="39" spans="1:7" ht="15.75" customHeight="1" x14ac:dyDescent="0.3">
      <c r="C39" s="95">
        <v>807.94</v>
      </c>
      <c r="D39" s="88">
        <f t="shared" si="0"/>
        <v>1.0978945550736786E-2</v>
      </c>
      <c r="E39" s="53"/>
    </row>
    <row r="40" spans="1:7" ht="15.75" customHeight="1" x14ac:dyDescent="0.3">
      <c r="C40" s="95">
        <v>780.56</v>
      </c>
      <c r="D40" s="88">
        <f t="shared" si="0"/>
        <v>-2.3281771246524495E-2</v>
      </c>
      <c r="E40" s="53"/>
    </row>
    <row r="41" spans="1:7" ht="15.75" customHeight="1" x14ac:dyDescent="0.3">
      <c r="C41" s="95">
        <v>786.41</v>
      </c>
      <c r="D41" s="88">
        <f t="shared" si="0"/>
        <v>-1.596164000971009E-2</v>
      </c>
      <c r="E41" s="53"/>
    </row>
    <row r="42" spans="1:7" ht="15.75" customHeight="1" x14ac:dyDescent="0.3">
      <c r="C42" s="95">
        <v>821.24</v>
      </c>
      <c r="D42" s="88">
        <f t="shared" si="0"/>
        <v>2.7621295200246344E-2</v>
      </c>
      <c r="E42" s="53"/>
    </row>
    <row r="43" spans="1:7" ht="16.5" customHeight="1" x14ac:dyDescent="0.3">
      <c r="C43" s="96">
        <v>800.99</v>
      </c>
      <c r="D43" s="89">
        <f t="shared" si="0"/>
        <v>2.2823793805042624E-3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15983.32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799.16599999999994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799.16599999999994</v>
      </c>
      <c r="C49" s="93">
        <f>-IF(C46&lt;=80,10%,IF(C46&lt;250,7.5%,5%))</f>
        <v>-0.05</v>
      </c>
      <c r="D49" s="81">
        <f>IF(C46&lt;=80,C46*0.9,IF(C46&lt;250,C46*0.925,C46*0.95))</f>
        <v>759.20769999999993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839.12429999999995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7" zoomScale="50" zoomScaleNormal="40" zoomScalePageLayoutView="50" workbookViewId="0">
      <selection activeCell="G114" sqref="G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125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>
        <v>42600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42601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127</v>
      </c>
      <c r="C26" s="324"/>
    </row>
    <row r="27" spans="1:14" ht="26.25" customHeight="1" x14ac:dyDescent="0.4">
      <c r="A27" s="109" t="s">
        <v>48</v>
      </c>
      <c r="B27" s="322" t="s">
        <v>128</v>
      </c>
      <c r="C27" s="322"/>
    </row>
    <row r="28" spans="1:14" ht="27" customHeight="1" x14ac:dyDescent="0.4">
      <c r="A28" s="109" t="s">
        <v>6</v>
      </c>
      <c r="B28" s="110">
        <v>98.8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20204051</v>
      </c>
      <c r="E38" s="133">
        <f>IF(ISBLANK(D38),"-",$D$48/$D$45*D38)</f>
        <v>23195830.685099602</v>
      </c>
      <c r="F38" s="132">
        <v>23941100</v>
      </c>
      <c r="G38" s="134">
        <f>IF(ISBLANK(F38),"-",$D$48/$F$45*F38)</f>
        <v>23682449.756736826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20348416</v>
      </c>
      <c r="E39" s="138">
        <f>IF(ISBLANK(D39),"-",$D$48/$D$45*D39)</f>
        <v>23361572.995730989</v>
      </c>
      <c r="F39" s="137">
        <v>23844859</v>
      </c>
      <c r="G39" s="139">
        <f>IF(ISBLANK(F39),"-",$D$48/$F$45*F39)</f>
        <v>23587248.506709129</v>
      </c>
      <c r="I39" s="307">
        <f>ABS((F43/D43*D42)-F42)/D42</f>
        <v>1.8522096814773809E-2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20193409</v>
      </c>
      <c r="E40" s="138">
        <f>IF(ISBLANK(D40),"-",$D$48/$D$45*D40)</f>
        <v>23183612.836800225</v>
      </c>
      <c r="F40" s="137">
        <v>23841882</v>
      </c>
      <c r="G40" s="139">
        <f>IF(ISBLANK(F40),"-",$D$48/$F$45*F40)</f>
        <v>23584303.669048127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20248625.333333332</v>
      </c>
      <c r="E42" s="148">
        <f>AVERAGE(E38:E41)</f>
        <v>23247005.50587694</v>
      </c>
      <c r="F42" s="147">
        <f>AVERAGE(F38:F41)</f>
        <v>23875947</v>
      </c>
      <c r="G42" s="149">
        <f>AVERAGE(G38:G41)</f>
        <v>23618000.644164696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11.02</v>
      </c>
      <c r="E43" s="140"/>
      <c r="F43" s="152">
        <v>12.79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11.02</v>
      </c>
      <c r="E44" s="155"/>
      <c r="F44" s="154">
        <f>F43*$B$34</f>
        <v>12.79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10.887759999999998</v>
      </c>
      <c r="E45" s="158"/>
      <c r="F45" s="157">
        <f>F44*$B$30/100</f>
        <v>12.636519999999997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2.1775519999999996E-2</v>
      </c>
      <c r="E46" s="160"/>
      <c r="F46" s="161">
        <f>F45/$B$45</f>
        <v>2.5273039999999993E-2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12.5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23432503.075020816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9.2016344493859349E-3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Nevirapine USP 200 mg.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 xml:space="preserve">Nevirapine </v>
      </c>
      <c r="H56" s="179"/>
    </row>
    <row r="57" spans="1:12" ht="18.75" x14ac:dyDescent="0.3">
      <c r="A57" s="176" t="s">
        <v>88</v>
      </c>
      <c r="B57" s="268">
        <f>Uniformity!C46</f>
        <v>799.16599999999994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0" t="s">
        <v>94</v>
      </c>
      <c r="D60" s="313">
        <v>797.17</v>
      </c>
      <c r="E60" s="182">
        <v>1</v>
      </c>
      <c r="F60" s="183">
        <v>20865878</v>
      </c>
      <c r="G60" s="269">
        <f>IF(ISBLANK(F60),"-",(F60/$D$50*$D$47*$B$68)*($B$57/$D$60))</f>
        <v>185.97852375513955</v>
      </c>
      <c r="H60" s="184">
        <f t="shared" ref="H60:H71" si="0">IF(ISBLANK(F60),"-",G60/$B$56)</f>
        <v>0.92989261877569773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1"/>
      <c r="D61" s="314"/>
      <c r="E61" s="185">
        <v>2</v>
      </c>
      <c r="F61" s="137">
        <v>20780479</v>
      </c>
      <c r="G61" s="270">
        <f>IF(ISBLANK(F61),"-",(F61/$D$50*$D$47*$B$68)*($B$57/$D$60))</f>
        <v>185.21735856716302</v>
      </c>
      <c r="H61" s="186">
        <f t="shared" si="0"/>
        <v>0.92608679283581508</v>
      </c>
      <c r="L61" s="112"/>
    </row>
    <row r="62" spans="1:12" s="14" customFormat="1" ht="26.25" customHeight="1" x14ac:dyDescent="0.4">
      <c r="A62" s="124" t="s">
        <v>96</v>
      </c>
      <c r="B62" s="125">
        <v>3</v>
      </c>
      <c r="C62" s="311"/>
      <c r="D62" s="314"/>
      <c r="E62" s="185">
        <v>3</v>
      </c>
      <c r="F62" s="187">
        <v>20830482</v>
      </c>
      <c r="G62" s="270">
        <f>IF(ISBLANK(F62),"-",(F62/$D$50*$D$47*$B$68)*($B$57/$D$60))</f>
        <v>185.66303759027093</v>
      </c>
      <c r="H62" s="186">
        <f t="shared" si="0"/>
        <v>0.9283151879513547</v>
      </c>
      <c r="L62" s="112"/>
    </row>
    <row r="63" spans="1:12" ht="27" customHeight="1" x14ac:dyDescent="0.4">
      <c r="A63" s="124" t="s">
        <v>97</v>
      </c>
      <c r="B63" s="125">
        <v>25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802</v>
      </c>
      <c r="E64" s="182">
        <v>1</v>
      </c>
      <c r="F64" s="183">
        <v>21050304</v>
      </c>
      <c r="G64" s="271">
        <f>IF(ISBLANK(F64),"-",(F64/$D$50*$D$47*$B$68)*($B$57/$D$64))</f>
        <v>186.49237621611783</v>
      </c>
      <c r="H64" s="190">
        <f t="shared" si="0"/>
        <v>0.93246188108058914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20930967</v>
      </c>
      <c r="G65" s="272">
        <f>IF(ISBLANK(F65),"-",(F65/$D$50*$D$47*$B$68)*($B$57/$D$64))</f>
        <v>185.43512589324823</v>
      </c>
      <c r="H65" s="191">
        <f t="shared" si="0"/>
        <v>0.9271756294662411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20939228</v>
      </c>
      <c r="G66" s="272">
        <f>IF(ISBLANK(F66),"-",(F66/$D$50*$D$47*$B$68)*($B$57/$D$64))</f>
        <v>185.50831312702508</v>
      </c>
      <c r="H66" s="191">
        <f t="shared" si="0"/>
        <v>0.92754156563512535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8333.3333333333339</v>
      </c>
      <c r="C68" s="310" t="s">
        <v>104</v>
      </c>
      <c r="D68" s="313">
        <v>803.98</v>
      </c>
      <c r="E68" s="182">
        <v>1</v>
      </c>
      <c r="F68" s="183">
        <v>21076170</v>
      </c>
      <c r="G68" s="271">
        <f>IF(ISBLANK(F68),"-",(F68/$D$50*$D$47*$B$68)*($B$57/$D$68))</f>
        <v>186.26168456313044</v>
      </c>
      <c r="H68" s="186">
        <f t="shared" si="0"/>
        <v>0.93130842281565218</v>
      </c>
    </row>
    <row r="69" spans="1:8" ht="27" customHeight="1" x14ac:dyDescent="0.4">
      <c r="A69" s="172" t="s">
        <v>105</v>
      </c>
      <c r="B69" s="194">
        <f>(D47*B68)/B56*B57</f>
        <v>832.46458333333351</v>
      </c>
      <c r="C69" s="311"/>
      <c r="D69" s="314"/>
      <c r="E69" s="185">
        <v>2</v>
      </c>
      <c r="F69" s="137">
        <v>21039786</v>
      </c>
      <c r="G69" s="272">
        <f>IF(ISBLANK(F69),"-",(F69/$D$50*$D$47*$B$68)*($B$57/$D$68))</f>
        <v>185.9401391812539</v>
      </c>
      <c r="H69" s="186">
        <f t="shared" si="0"/>
        <v>0.92970069590626947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21085418</v>
      </c>
      <c r="G70" s="272">
        <f>IF(ISBLANK(F70),"-",(F70/$D$50*$D$47*$B$68)*($B$57/$D$68))</f>
        <v>186.34341421604364</v>
      </c>
      <c r="H70" s="186">
        <f t="shared" si="0"/>
        <v>0.93171707108021817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185.87110812326586</v>
      </c>
      <c r="H72" s="199">
        <f>AVERAGE(H60:H71)</f>
        <v>0.92935554061632919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2.3835928924956077E-3</v>
      </c>
      <c r="H73" s="274">
        <f>STDEV(H60:H71)/H72</f>
        <v>2.3835928924955999E-3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 xml:space="preserve">Nevirapine </v>
      </c>
      <c r="D76" s="297"/>
      <c r="E76" s="205" t="s">
        <v>108</v>
      </c>
      <c r="F76" s="205"/>
      <c r="G76" s="206">
        <f>H72</f>
        <v>0.92935554061632919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Nevirapine</v>
      </c>
      <c r="C79" s="320"/>
    </row>
    <row r="80" spans="1:8" ht="26.25" customHeight="1" x14ac:dyDescent="0.4">
      <c r="A80" s="109" t="s">
        <v>48</v>
      </c>
      <c r="B80" s="320" t="str">
        <f>B27</f>
        <v>N1-4</v>
      </c>
      <c r="C80" s="320"/>
    </row>
    <row r="81" spans="1:12" ht="27" customHeight="1" x14ac:dyDescent="0.4">
      <c r="A81" s="109" t="s">
        <v>6</v>
      </c>
      <c r="B81" s="208">
        <f>B28</f>
        <v>98.8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12273575</v>
      </c>
      <c r="E91" s="133">
        <f>IF(ISBLANK(D91),"-",$D$101/$D$98*D91)</f>
        <v>12525354.669422872</v>
      </c>
      <c r="F91" s="132">
        <v>14172625</v>
      </c>
      <c r="G91" s="134">
        <f>IF(ISBLANK(F91),"-",$D$101/$F$98*F91)</f>
        <v>12461786.24424376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12200545</v>
      </c>
      <c r="E92" s="138">
        <f>IF(ISBLANK(D92),"-",$D$101/$D$98*D92)</f>
        <v>12450826.53466931</v>
      </c>
      <c r="F92" s="137">
        <v>14147024</v>
      </c>
      <c r="G92" s="139">
        <f>IF(ISBLANK(F92),"-",$D$101/$F$98*F92)</f>
        <v>12439275.651489144</v>
      </c>
      <c r="I92" s="307">
        <f>ABS((F96/D96*D95)-F95)/D95</f>
        <v>2.932297945890019E-3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12203698</v>
      </c>
      <c r="E93" s="138">
        <f>IF(ISBLANK(D93),"-",$D$101/$D$98*D93)</f>
        <v>12454044.215196189</v>
      </c>
      <c r="F93" s="137">
        <v>14141702</v>
      </c>
      <c r="G93" s="139">
        <f>IF(ISBLANK(F93),"-",$D$101/$F$98*F93)</f>
        <v>12434596.093087517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12225939.333333334</v>
      </c>
      <c r="E95" s="148">
        <f>AVERAGE(E91:E94)</f>
        <v>12476741.806429455</v>
      </c>
      <c r="F95" s="218">
        <f>AVERAGE(F91:F94)</f>
        <v>14153783.666666666</v>
      </c>
      <c r="G95" s="219">
        <f>AVERAGE(G91:G94)</f>
        <v>12445219.329606807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11.02</v>
      </c>
      <c r="E96" s="140"/>
      <c r="F96" s="152">
        <v>12.79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11.02</v>
      </c>
      <c r="E97" s="155"/>
      <c r="F97" s="154">
        <f>F96*$B$87</f>
        <v>12.79</v>
      </c>
    </row>
    <row r="98" spans="1:10" ht="19.5" customHeight="1" x14ac:dyDescent="0.3">
      <c r="A98" s="124" t="s">
        <v>76</v>
      </c>
      <c r="B98" s="224">
        <f>(B97/B96)*(B95/B94)*(B93/B92)*(B91/B90)*B89</f>
        <v>833.33333333333337</v>
      </c>
      <c r="C98" s="222" t="s">
        <v>115</v>
      </c>
      <c r="D98" s="225">
        <f>D97*$B$83/100</f>
        <v>10.887759999999998</v>
      </c>
      <c r="E98" s="158"/>
      <c r="F98" s="157">
        <f>F97*$B$83/100</f>
        <v>12.636519999999997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1.3065311999999997E-2</v>
      </c>
      <c r="E99" s="158"/>
      <c r="F99" s="161">
        <f>F98/$B$98</f>
        <v>1.5163823999999996E-2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1.3333333333333332E-2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11.111111111111111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11.111111111111111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12460980.568018131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2.6526732577465796E-3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3</v>
      </c>
      <c r="C108" s="243">
        <v>1</v>
      </c>
      <c r="D108" s="244">
        <v>11207756</v>
      </c>
      <c r="E108" s="275">
        <f t="shared" ref="E108:E113" si="1">IF(ISBLANK(D108),"-",D108/$D$103*$D$100*$B$116)</f>
        <v>179.88561877329929</v>
      </c>
      <c r="F108" s="245">
        <f t="shared" ref="F108:F113" si="2">IF(ISBLANK(D108), "-", E108/$B$56)</f>
        <v>0.89942809386649647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>
        <v>11399935</v>
      </c>
      <c r="E109" s="276">
        <f t="shared" si="1"/>
        <v>182.97011118464675</v>
      </c>
      <c r="F109" s="246">
        <f t="shared" si="2"/>
        <v>0.91485055592323372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11206596</v>
      </c>
      <c r="E110" s="276">
        <f t="shared" si="1"/>
        <v>179.86700065582986</v>
      </c>
      <c r="F110" s="246">
        <f t="shared" si="2"/>
        <v>0.89933500327914928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11445498</v>
      </c>
      <c r="E111" s="276">
        <f t="shared" si="1"/>
        <v>183.7014019486648</v>
      </c>
      <c r="F111" s="246">
        <f t="shared" si="2"/>
        <v>0.918507009743324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11889962</v>
      </c>
      <c r="E112" s="276">
        <f t="shared" si="1"/>
        <v>190.83509415810047</v>
      </c>
      <c r="F112" s="246">
        <f t="shared" si="2"/>
        <v>0.95417547079050236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11855144</v>
      </c>
      <c r="E113" s="277">
        <f t="shared" si="1"/>
        <v>190.27626173219392</v>
      </c>
      <c r="F113" s="249">
        <f t="shared" si="2"/>
        <v>0.95138130866096959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184.58924807545586</v>
      </c>
      <c r="F115" s="252">
        <f>AVERAGE(F108:F113)</f>
        <v>0.92294624037727913</v>
      </c>
    </row>
    <row r="116" spans="1:10" ht="27" customHeight="1" x14ac:dyDescent="0.4">
      <c r="A116" s="124" t="s">
        <v>103</v>
      </c>
      <c r="B116" s="156">
        <f>(B115/B114)*(B113/B112)*(B111/B110)*(B109/B108)*B107</f>
        <v>15000.000000000002</v>
      </c>
      <c r="C116" s="253"/>
      <c r="D116" s="216" t="s">
        <v>84</v>
      </c>
      <c r="E116" s="254">
        <f>STDEV(E108:E113)/E115</f>
        <v>2.6449766501691299E-2</v>
      </c>
      <c r="F116" s="254">
        <f>STDEV(F108:F113)/F115</f>
        <v>2.6449766501691292E-2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 xml:space="preserve">Nevirapine </v>
      </c>
      <c r="D120" s="297"/>
      <c r="E120" s="205" t="s">
        <v>124</v>
      </c>
      <c r="F120" s="205"/>
      <c r="G120" s="206">
        <f>F115</f>
        <v>0.92294624037727913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Nevirapine</vt:lpstr>
      <vt:lpstr>Nevirapine!Print_Area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2016-08-22T05:14:58Z</cp:lastPrinted>
  <dcterms:created xsi:type="dcterms:W3CDTF">2005-07-05T10:19:27Z</dcterms:created>
  <dcterms:modified xsi:type="dcterms:W3CDTF">2016-09-13T12:28:53Z</dcterms:modified>
</cp:coreProperties>
</file>