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25" windowWidth="15015" windowHeight="7620" activeTab="3"/>
  </bookViews>
  <sheets>
    <sheet name="Uniformity" sheetId="23" r:id="rId1"/>
    <sheet name="SST TDF" sheetId="24" r:id="rId2"/>
    <sheet name="Tenofovir Disoproxil Fumarate" sheetId="18" r:id="rId3"/>
    <sheet name="SST lam" sheetId="25" r:id="rId4"/>
    <sheet name="Lamivudine" sheetId="19" r:id="rId5"/>
  </sheets>
  <definedNames>
    <definedName name="_xlnm.Print_Area" localSheetId="4">Lamivudine!$A$1:$H$125</definedName>
    <definedName name="_xlnm.Print_Area" localSheetId="2">'Tenofovir Disoproxil Fumarate'!$A$1:$H$126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9" i="25"/>
  <c r="B30" s="1"/>
  <c r="B8"/>
  <c r="B9" s="1"/>
  <c r="B27" i="24"/>
  <c r="B28" s="1"/>
  <c r="B6"/>
  <c r="B7" s="1"/>
  <c r="B41" i="25"/>
  <c r="B40"/>
  <c r="E39"/>
  <c r="D39"/>
  <c r="C39"/>
  <c r="B39"/>
  <c r="B20"/>
  <c r="B19"/>
  <c r="E18"/>
  <c r="D18"/>
  <c r="C18"/>
  <c r="B18"/>
  <c r="B39" i="24"/>
  <c r="E37"/>
  <c r="D37"/>
  <c r="C37"/>
  <c r="B37"/>
  <c r="B38" s="1"/>
  <c r="B25"/>
  <c r="B18"/>
  <c r="B17"/>
  <c r="E16"/>
  <c r="D16"/>
  <c r="C16"/>
  <c r="B16"/>
  <c r="B23" i="19"/>
  <c r="B22"/>
  <c r="B19"/>
  <c r="B57" i="18"/>
  <c r="C46" i="23"/>
  <c r="C49" s="1"/>
  <c r="C45"/>
  <c r="D41"/>
  <c r="D37"/>
  <c r="D34"/>
  <c r="D33"/>
  <c r="D30"/>
  <c r="D29"/>
  <c r="D26"/>
  <c r="D25"/>
  <c r="C19"/>
  <c r="D38" l="1"/>
  <c r="D42"/>
  <c r="B49"/>
  <c r="D50"/>
  <c r="D24"/>
  <c r="C50"/>
  <c r="D28"/>
  <c r="D32"/>
  <c r="D36"/>
  <c r="D40"/>
  <c r="D49"/>
  <c r="D27"/>
  <c r="D31"/>
  <c r="D35"/>
  <c r="D39"/>
  <c r="D43"/>
  <c r="B57" i="19" l="1"/>
  <c r="D64"/>
  <c r="D68" l="1"/>
  <c r="D60"/>
  <c r="C120" l="1"/>
  <c r="B116"/>
  <c r="D100"/>
  <c r="B98"/>
  <c r="F95"/>
  <c r="D95"/>
  <c r="G94"/>
  <c r="E94"/>
  <c r="I92"/>
  <c r="B87"/>
  <c r="F97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F45" s="1"/>
  <c r="B30"/>
  <c r="C120" i="18"/>
  <c r="B116"/>
  <c r="D100"/>
  <c r="B98"/>
  <c r="F95"/>
  <c r="D95"/>
  <c r="G94"/>
  <c r="E94"/>
  <c r="I92"/>
  <c r="B87"/>
  <c r="F97" s="1"/>
  <c r="F98" s="1"/>
  <c r="F99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F46" s="1"/>
  <c r="B30"/>
  <c r="D101" i="19" l="1"/>
  <c r="D101" i="18"/>
  <c r="D102" s="1"/>
  <c r="I39" i="19"/>
  <c r="F46"/>
  <c r="I39" i="18"/>
  <c r="G92"/>
  <c r="F98" i="19"/>
  <c r="F99" s="1"/>
  <c r="G39"/>
  <c r="G40"/>
  <c r="D49"/>
  <c r="G38"/>
  <c r="G39" i="18"/>
  <c r="G40"/>
  <c r="D49"/>
  <c r="G38"/>
  <c r="D97"/>
  <c r="D98" s="1"/>
  <c r="D99" s="1"/>
  <c r="D97" i="19"/>
  <c r="D98" s="1"/>
  <c r="D99" s="1"/>
  <c r="D44" i="18"/>
  <c r="D45" s="1"/>
  <c r="D46" s="1"/>
  <c r="D44" i="19"/>
  <c r="D45" s="1"/>
  <c r="D46" s="1"/>
  <c r="G92" l="1"/>
  <c r="E93"/>
  <c r="D102"/>
  <c r="G93"/>
  <c r="G91" i="18"/>
  <c r="G93"/>
  <c r="G42" i="19"/>
  <c r="G42" i="18"/>
  <c r="E92"/>
  <c r="E91"/>
  <c r="E38"/>
  <c r="E39"/>
  <c r="E40" i="19"/>
  <c r="G91"/>
  <c r="E40" i="18"/>
  <c r="E38" i="19"/>
  <c r="E39"/>
  <c r="E93" i="18"/>
  <c r="E92" i="19"/>
  <c r="E91"/>
  <c r="G95" l="1"/>
  <c r="G95" i="18"/>
  <c r="D103"/>
  <c r="E95"/>
  <c r="D105"/>
  <c r="D50" i="19"/>
  <c r="E42"/>
  <c r="D52"/>
  <c r="D103"/>
  <c r="E95"/>
  <c r="D105"/>
  <c r="D50" i="18"/>
  <c r="E42"/>
  <c r="D52"/>
  <c r="E113" i="19" l="1"/>
  <c r="F113" s="1"/>
  <c r="E111"/>
  <c r="F111" s="1"/>
  <c r="E109"/>
  <c r="F109" s="1"/>
  <c r="D104"/>
  <c r="E112"/>
  <c r="F112" s="1"/>
  <c r="E110"/>
  <c r="F110" s="1"/>
  <c r="E108"/>
  <c r="E113" i="18"/>
  <c r="F113" s="1"/>
  <c r="E111"/>
  <c r="F111" s="1"/>
  <c r="E109"/>
  <c r="F109" s="1"/>
  <c r="D104"/>
  <c r="E112"/>
  <c r="F112" s="1"/>
  <c r="E110"/>
  <c r="F110" s="1"/>
  <c r="E108"/>
  <c r="D51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D51" i="19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G74" l="1"/>
  <c r="G72"/>
  <c r="G73" s="1"/>
  <c r="H60"/>
  <c r="E117" i="18"/>
  <c r="F108"/>
  <c r="E115"/>
  <c r="E116" s="1"/>
  <c r="G74"/>
  <c r="G72"/>
  <c r="G73" s="1"/>
  <c r="H60"/>
  <c r="E117" i="19"/>
  <c r="F108"/>
  <c r="E115"/>
  <c r="E116" s="1"/>
  <c r="F117" l="1"/>
  <c r="F115"/>
  <c r="H74"/>
  <c r="H72"/>
  <c r="H74" i="18"/>
  <c r="H72"/>
  <c r="F117"/>
  <c r="F115"/>
  <c r="G120" l="1"/>
  <c r="F116"/>
  <c r="G76" i="19"/>
  <c r="H73"/>
  <c r="G120"/>
  <c r="F116"/>
  <c r="G76" i="18"/>
  <c r="H73"/>
</calcChain>
</file>

<file path=xl/sharedStrings.xml><?xml version="1.0" encoding="utf-8"?>
<sst xmlns="http://schemas.openxmlformats.org/spreadsheetml/2006/main" count="437" uniqueCount="134">
  <si>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</si>
  <si>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</si>
  <si>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</si>
  <si>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</si>
  <si>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</si>
  <si>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</si>
  <si>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</si>
  <si>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</si>
  <si>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</si>
  <si>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</si>
  <si>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</si>
  <si>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</si>
  <si>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</si>
  <si>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</si>
  <si>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</si>
  <si>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</si>
  <si>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</si>
  <si>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</si>
  <si>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</si>
  <si>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</si>
  <si>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</si>
  <si>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</si>
  <si>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</si>
  <si>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</si>
  <si>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</si>
  <si>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</si>
  <si>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</si>
  <si>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</si>
  <si>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</si>
  <si>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</si>
  <si>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</si>
  <si>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</si>
  <si>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</si>
  <si>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</si>
  <si>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</si>
  <si>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</si>
  <si>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</si>
  <si>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</si>
  <si>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</si>
  <si>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</si>
  <si>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</si>
  <si>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</si>
  <si>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</si>
  <si>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</si>
  <si>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</si>
  <si>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</si>
  <si>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</si>
  <si>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</si>
  <si>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</si>
  <si>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</si>
  <si>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</si>
  <si>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</si>
  <si>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</si>
  <si>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</si>
  <si>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</si>
  <si>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</si>
  <si>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</si>
  <si>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</si>
  <si>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</si>
  <si>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</si>
  <si>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</si>
  <si>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</si>
  <si>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</si>
  <si>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</si>
  <si>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</si>
  <si>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</si>
  <si>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</si>
  <si>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</si>
  <si>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</si>
  <si>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</si>
  <si>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</si>
  <si>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</si>
  <si>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</si>
  <si>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</si>
  <si>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</si>
  <si>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</si>
  <si>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</si>
  <si>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</si>
  <si>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</si>
  <si>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</si>
  <si>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</si>
  <si>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</si>
  <si>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</si>
  <si>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</si>
  <si>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</si>
  <si>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</si>
  <si>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</si>
  <si>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</si>
  <si>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</si>
  <si>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</si>
  <si>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</si>
  <si>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</si>
  <si>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</si>
  <si>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</si>
  <si>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</si>
  <si>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</si>
  <si>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</si>
  <si>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</si>
  <si>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</si>
  <si>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</si>
  <si>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</si>
  <si>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</si>
  <si>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</si>
  <si>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</si>
  <si>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</si>
  <si>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</si>
  <si>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</si>
  <si>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</si>
  <si>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</si>
  <si>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</si>
  <si>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</si>
  <si>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</si>
  <si>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</si>
  <si>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</si>
  <si>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</si>
  <si>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</si>
  <si>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</si>
  <si>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</si>
  <si>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</si>
  <si>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</si>
  <si>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</si>
  <si>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</si>
  <si>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</si>
  <si>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</si>
  <si>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</si>
  <si>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</si>
  <si>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TENOFOVIR DISOPROXIL FUMARATE/LAMIVUDINE TABLETS 300 MG/300 MG</t>
  </si>
  <si>
    <t>NDQB201607003</t>
  </si>
  <si>
    <t xml:space="preserve">TENOFOVIR DISOPROXIL FUMARATE/LAMIVUDINE </t>
  </si>
  <si>
    <t>Each tablet contains Tenofovir Disoproxil Fumarate 300mg, Lamivudine 300mg</t>
  </si>
  <si>
    <t>2016-07-05 11:18:02</t>
  </si>
  <si>
    <t>30/9/2016</t>
  </si>
  <si>
    <t>L3-10</t>
  </si>
  <si>
    <t>Tenofovir DF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</si>
</sst>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55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11" fillId="3" borderId="0" xfId="2" applyFont="1" applyFill="1" applyAlignment="1" applyProtection="1">
      <alignment horizontal="left"/>
      <protection locked="0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40" xfId="2" applyFont="1" applyFill="1" applyBorder="1" applyAlignment="1">
      <alignment horizontal="center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40" xfId="4" applyFont="1" applyFill="1" applyBorder="1" applyAlignment="1">
      <alignment horizontal="center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23" fillId="2" borderId="0" xfId="7" applyFont="1" applyFill="1"/>
    <xf numFmtId="0" fontId="30" fillId="2" borderId="18" xfId="7" applyFont="1" applyFill="1" applyBorder="1" applyAlignment="1">
      <alignment horizontal="center" wrapText="1"/>
    </xf>
    <xf numFmtId="0" fontId="30" fillId="2" borderId="19" xfId="7" applyFont="1" applyFill="1" applyBorder="1" applyAlignment="1">
      <alignment horizontal="center" wrapText="1"/>
    </xf>
    <xf numFmtId="0" fontId="30" fillId="2" borderId="20" xfId="7" applyFont="1" applyFill="1" applyBorder="1" applyAlignment="1">
      <alignment horizontal="center" wrapText="1"/>
    </xf>
    <xf numFmtId="0" fontId="30" fillId="2" borderId="0" xfId="7" applyFont="1" applyFill="1" applyAlignment="1">
      <alignment wrapText="1"/>
    </xf>
    <xf numFmtId="0" fontId="29" fillId="2" borderId="0" xfId="7" applyFont="1" applyFill="1" applyAlignment="1">
      <alignment horizontal="center"/>
    </xf>
    <xf numFmtId="0" fontId="29" fillId="2" borderId="0" xfId="7" applyFont="1" applyFill="1"/>
    <xf numFmtId="0" fontId="25" fillId="2" borderId="0" xfId="7" applyFont="1" applyFill="1" applyAlignment="1">
      <alignment horizontal="right"/>
    </xf>
    <xf numFmtId="0" fontId="24" fillId="2" borderId="0" xfId="7" applyFont="1" applyFill="1"/>
    <xf numFmtId="167" fontId="24" fillId="2" borderId="0" xfId="7" applyNumberFormat="1" applyFont="1" applyFill="1" applyAlignment="1">
      <alignment horizontal="center"/>
    </xf>
    <xf numFmtId="0" fontId="25" fillId="2" borderId="0" xfId="7" applyFont="1" applyFill="1" applyAlignment="1">
      <alignment horizontal="right"/>
    </xf>
    <xf numFmtId="167" fontId="24" fillId="2" borderId="0" xfId="7" applyNumberFormat="1" applyFont="1" applyFill="1"/>
    <xf numFmtId="0" fontId="29" fillId="2" borderId="0" xfId="7" applyFont="1" applyFill="1" applyAlignment="1">
      <alignment horizontal="left"/>
    </xf>
    <xf numFmtId="0" fontId="26" fillId="2" borderId="0" xfId="7" applyFont="1" applyFill="1"/>
    <xf numFmtId="164" fontId="23" fillId="2" borderId="0" xfId="7" applyNumberFormat="1" applyFont="1" applyFill="1" applyAlignment="1">
      <alignment horizontal="center"/>
    </xf>
    <xf numFmtId="164" fontId="23" fillId="2" borderId="0" xfId="7" applyNumberFormat="1" applyFont="1" applyFill="1"/>
    <xf numFmtId="164" fontId="25" fillId="2" borderId="12" xfId="7" applyNumberFormat="1" applyFont="1" applyFill="1" applyBorder="1" applyAlignment="1">
      <alignment horizontal="center" wrapText="1"/>
    </xf>
    <xf numFmtId="0" fontId="25" fillId="2" borderId="12" xfId="7" applyFont="1" applyFill="1" applyBorder="1" applyAlignment="1">
      <alignment horizontal="center" wrapText="1"/>
    </xf>
    <xf numFmtId="0" fontId="28" fillId="2" borderId="0" xfId="7" applyFont="1" applyFill="1" applyAlignment="1">
      <alignment horizontal="center"/>
    </xf>
    <xf numFmtId="2" fontId="24" fillId="3" borderId="14" xfId="7" applyNumberFormat="1" applyFont="1" applyFill="1" applyBorder="1" applyProtection="1">
      <protection locked="0"/>
    </xf>
    <xf numFmtId="10" fontId="24" fillId="2" borderId="13" xfId="7" applyNumberFormat="1" applyFont="1" applyFill="1" applyBorder="1" applyAlignment="1">
      <alignment horizontal="center"/>
    </xf>
    <xf numFmtId="10" fontId="24" fillId="2" borderId="0" xfId="7" applyNumberFormat="1" applyFont="1" applyFill="1" applyAlignment="1">
      <alignment horizontal="center"/>
    </xf>
    <xf numFmtId="10" fontId="24" fillId="2" borderId="14" xfId="7" applyNumberFormat="1" applyFont="1" applyFill="1" applyBorder="1" applyAlignment="1">
      <alignment horizontal="center"/>
    </xf>
    <xf numFmtId="2" fontId="24" fillId="3" borderId="15" xfId="7" applyNumberFormat="1" applyFont="1" applyFill="1" applyBorder="1" applyProtection="1">
      <protection locked="0"/>
    </xf>
    <xf numFmtId="10" fontId="24" fillId="2" borderId="15" xfId="7" applyNumberFormat="1" applyFont="1" applyFill="1" applyBorder="1" applyAlignment="1">
      <alignment horizontal="center"/>
    </xf>
    <xf numFmtId="166" fontId="28" fillId="2" borderId="0" xfId="7" applyNumberFormat="1" applyFont="1" applyFill="1" applyAlignment="1">
      <alignment horizontal="center"/>
    </xf>
    <xf numFmtId="10" fontId="28" fillId="2" borderId="0" xfId="7" applyNumberFormat="1" applyFont="1" applyFill="1" applyAlignment="1">
      <alignment horizontal="center"/>
    </xf>
    <xf numFmtId="0" fontId="24" fillId="2" borderId="12" xfId="7" applyFont="1" applyFill="1" applyBorder="1" applyAlignment="1">
      <alignment horizontal="right" vertical="center"/>
    </xf>
    <xf numFmtId="166" fontId="24" fillId="2" borderId="12" xfId="7" applyNumberFormat="1" applyFont="1" applyFill="1" applyBorder="1" applyAlignment="1">
      <alignment horizontal="center" vertical="center"/>
    </xf>
    <xf numFmtId="166" fontId="24" fillId="2" borderId="0" xfId="7" applyNumberFormat="1" applyFont="1" applyFill="1" applyAlignment="1">
      <alignment horizontal="center"/>
    </xf>
    <xf numFmtId="164" fontId="25" fillId="2" borderId="12" xfId="7" applyNumberFormat="1" applyFont="1" applyFill="1" applyBorder="1" applyAlignment="1">
      <alignment horizontal="center" vertical="center"/>
    </xf>
    <xf numFmtId="2" fontId="27" fillId="2" borderId="0" xfId="7" applyNumberFormat="1" applyFont="1" applyFill="1" applyAlignment="1">
      <alignment horizontal="right"/>
    </xf>
    <xf numFmtId="2" fontId="25" fillId="2" borderId="0" xfId="7" applyNumberFormat="1" applyFont="1" applyFill="1"/>
    <xf numFmtId="2" fontId="27" fillId="2" borderId="0" xfId="7" applyNumberFormat="1" applyFont="1" applyFill="1"/>
    <xf numFmtId="0" fontId="25" fillId="2" borderId="12" xfId="7" applyFont="1" applyFill="1" applyBorder="1" applyAlignment="1">
      <alignment horizontal="center" vertical="center"/>
    </xf>
    <xf numFmtId="10" fontId="28" fillId="2" borderId="0" xfId="7" applyNumberFormat="1" applyFont="1" applyFill="1"/>
    <xf numFmtId="166" fontId="25" fillId="2" borderId="13" xfId="7" applyNumberFormat="1" applyFont="1" applyFill="1" applyBorder="1" applyAlignment="1">
      <alignment horizontal="center" vertical="center"/>
    </xf>
    <xf numFmtId="165" fontId="25" fillId="2" borderId="16" xfId="7" applyNumberFormat="1" applyFont="1" applyFill="1" applyBorder="1" applyAlignment="1">
      <alignment horizontal="center"/>
    </xf>
    <xf numFmtId="2" fontId="25" fillId="2" borderId="12" xfId="7" applyNumberFormat="1" applyFont="1" applyFill="1" applyBorder="1" applyAlignment="1">
      <alignment horizontal="center" vertical="center"/>
    </xf>
    <xf numFmtId="166" fontId="25" fillId="2" borderId="15" xfId="7" applyNumberFormat="1" applyFont="1" applyFill="1" applyBorder="1" applyAlignment="1">
      <alignment horizontal="center" vertical="center"/>
    </xf>
    <xf numFmtId="165" fontId="25" fillId="2" borderId="17" xfId="7" applyNumberFormat="1" applyFont="1" applyFill="1" applyBorder="1" applyAlignment="1">
      <alignment horizontal="center"/>
    </xf>
    <xf numFmtId="0" fontId="24" fillId="2" borderId="9" xfId="7" applyFont="1" applyFill="1" applyBorder="1"/>
    <xf numFmtId="0" fontId="24" fillId="2" borderId="0" xfId="7" applyFont="1" applyFill="1" applyAlignment="1">
      <alignment horizontal="center"/>
    </xf>
    <xf numFmtId="10" fontId="24" fillId="2" borderId="9" xfId="7" applyNumberFormat="1" applyFont="1" applyFill="1" applyBorder="1"/>
    <xf numFmtId="0" fontId="25" fillId="2" borderId="10" xfId="7" applyFont="1" applyFill="1" applyBorder="1"/>
    <xf numFmtId="0" fontId="25" fillId="2" borderId="10" xfId="7" applyFont="1" applyFill="1" applyBorder="1" applyAlignment="1">
      <alignment horizontal="center"/>
    </xf>
    <xf numFmtId="0" fontId="24" fillId="2" borderId="10" xfId="7" applyFont="1" applyFill="1" applyBorder="1" applyAlignment="1">
      <alignment horizontal="center"/>
    </xf>
    <xf numFmtId="0" fontId="24" fillId="2" borderId="7" xfId="7" applyFont="1" applyFill="1" applyBorder="1"/>
    <xf numFmtId="0" fontId="25" fillId="2" borderId="11" xfId="7" applyFont="1" applyFill="1" applyBorder="1"/>
    <xf numFmtId="0" fontId="25" fillId="2" borderId="0" xfId="7" applyFont="1" applyFill="1"/>
    <xf numFmtId="0" fontId="24" fillId="2" borderId="11" xfId="7" applyFont="1" applyFill="1" applyBorder="1"/>
    <xf numFmtId="0" fontId="0" fillId="2" borderId="0" xfId="7" applyFont="1" applyFill="1"/>
    <xf numFmtId="0" fontId="3" fillId="2" borderId="0" xfId="8" applyFont="1" applyFill="1" applyAlignment="1">
      <alignment horizontal="center"/>
    </xf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0" fontId="5" fillId="2" borderId="0" xfId="8" applyFont="1" applyFill="1" applyAlignment="1">
      <alignment horizontal="center" vertical="top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2" fontId="5" fillId="2" borderId="0" xfId="8" applyNumberFormat="1" applyFont="1" applyFill="1" applyAlignment="1">
      <alignment horizontal="left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3" fillId="2" borderId="0" xfId="9" applyFont="1" applyFill="1" applyAlignment="1">
      <alignment horizontal="center"/>
    </xf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</cellXfs>
  <cellStyles count="11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" workbookViewId="0">
      <selection activeCell="F46" sqref="F46"/>
    </sheetView>
  </sheetViews>
  <sheetFormatPr defaultRowHeight="15"/>
  <cols>
    <col min="1" max="1" width="15.5703125" style="411" customWidth="1"/>
    <col min="2" max="2" width="18.42578125" style="411" customWidth="1"/>
    <col min="3" max="3" width="14.28515625" style="411" customWidth="1"/>
    <col min="4" max="4" width="15" style="411" customWidth="1"/>
    <col min="5" max="5" width="9.140625" style="411" customWidth="1"/>
    <col min="6" max="6" width="27.85546875" style="411" customWidth="1"/>
    <col min="7" max="7" width="12.28515625" style="411" customWidth="1"/>
    <col min="8" max="8" width="9.140625" style="411" customWidth="1"/>
    <col min="9" max="16384" width="9.140625" style="462"/>
  </cols>
  <sheetData>
    <row r="10" spans="1:7" ht="13.5" customHeight="1" thickBot="1"/>
    <row r="11" spans="1:7" ht="13.5" customHeight="1" thickBot="1">
      <c r="A11" s="412" t="s">
        <v>27</v>
      </c>
      <c r="B11" s="413"/>
      <c r="C11" s="413"/>
      <c r="D11" s="413"/>
      <c r="E11" s="413"/>
      <c r="F11" s="414"/>
      <c r="G11" s="415"/>
    </row>
    <row r="12" spans="1:7" ht="16.5" customHeight="1">
      <c r="A12" s="416" t="s">
        <v>28</v>
      </c>
      <c r="B12" s="416"/>
      <c r="C12" s="416"/>
      <c r="D12" s="416"/>
      <c r="E12" s="416"/>
      <c r="F12" s="416"/>
      <c r="G12" s="417"/>
    </row>
    <row r="14" spans="1:7" ht="16.5" customHeight="1">
      <c r="A14" s="418" t="s">
        <v>29</v>
      </c>
      <c r="B14" s="418"/>
      <c r="C14" s="419" t="s">
        <v>126</v>
      </c>
    </row>
    <row r="15" spans="1:7" ht="16.5" customHeight="1">
      <c r="A15" s="418" t="s">
        <v>30</v>
      </c>
      <c r="B15" s="418"/>
      <c r="C15" s="419" t="s">
        <v>127</v>
      </c>
    </row>
    <row r="16" spans="1:7" ht="16.5" customHeight="1">
      <c r="A16" s="418" t="s">
        <v>31</v>
      </c>
      <c r="B16" s="418"/>
      <c r="C16" s="419" t="s">
        <v>128</v>
      </c>
    </row>
    <row r="17" spans="1:5" ht="16.5" customHeight="1">
      <c r="A17" s="418" t="s">
        <v>32</v>
      </c>
      <c r="B17" s="418"/>
      <c r="C17" s="419" t="s">
        <v>129</v>
      </c>
    </row>
    <row r="18" spans="1:5" ht="16.5" customHeight="1">
      <c r="A18" s="418" t="s">
        <v>33</v>
      </c>
      <c r="B18" s="418"/>
      <c r="C18" s="420" t="s">
        <v>130</v>
      </c>
    </row>
    <row r="19" spans="1:5" ht="16.5" customHeight="1">
      <c r="A19" s="418" t="s">
        <v>34</v>
      </c>
      <c r="B19" s="418"/>
      <c r="C19" s="420" t="e">
        <f>#REF!</f>
        <v>#REF!</v>
      </c>
    </row>
    <row r="20" spans="1:5" ht="16.5" customHeight="1">
      <c r="A20" s="421"/>
      <c r="B20" s="421"/>
      <c r="C20" s="422"/>
    </row>
    <row r="21" spans="1:5" ht="16.5" customHeight="1">
      <c r="A21" s="416" t="s">
        <v>1</v>
      </c>
      <c r="B21" s="416"/>
      <c r="C21" s="423" t="s">
        <v>35</v>
      </c>
      <c r="D21" s="424"/>
    </row>
    <row r="22" spans="1:5" ht="15.75" customHeight="1" thickBot="1">
      <c r="A22" s="425"/>
      <c r="B22" s="425"/>
      <c r="C22" s="426"/>
      <c r="D22" s="425"/>
      <c r="E22" s="425"/>
    </row>
    <row r="23" spans="1:5" ht="33.75" customHeight="1" thickBot="1">
      <c r="C23" s="427" t="s">
        <v>36</v>
      </c>
      <c r="D23" s="428" t="s">
        <v>37</v>
      </c>
      <c r="E23" s="429"/>
    </row>
    <row r="24" spans="1:5" ht="15.75" customHeight="1">
      <c r="C24" s="430">
        <v>869.66</v>
      </c>
      <c r="D24" s="431">
        <f t="shared" ref="D24:D43" si="0">(C24-$C$46)/$C$46</f>
        <v>2.2351667385986391E-3</v>
      </c>
      <c r="E24" s="432"/>
    </row>
    <row r="25" spans="1:5" ht="15.75" customHeight="1">
      <c r="C25" s="430">
        <v>875.02</v>
      </c>
      <c r="D25" s="433">
        <f t="shared" si="0"/>
        <v>8.4122710020106649E-3</v>
      </c>
      <c r="E25" s="432"/>
    </row>
    <row r="26" spans="1:5" ht="15.75" customHeight="1">
      <c r="C26" s="430">
        <v>864.81</v>
      </c>
      <c r="D26" s="433">
        <f t="shared" si="0"/>
        <v>-3.3541906639290454E-3</v>
      </c>
      <c r="E26" s="432"/>
    </row>
    <row r="27" spans="1:5" ht="15.75" customHeight="1">
      <c r="C27" s="430">
        <v>869.67</v>
      </c>
      <c r="D27" s="433">
        <f t="shared" si="0"/>
        <v>2.2466911868512631E-3</v>
      </c>
      <c r="E27" s="432"/>
    </row>
    <row r="28" spans="1:5" ht="15.75" customHeight="1">
      <c r="C28" s="430">
        <v>863.91</v>
      </c>
      <c r="D28" s="433">
        <f t="shared" si="0"/>
        <v>-4.3913910066661109E-3</v>
      </c>
      <c r="E28" s="432"/>
    </row>
    <row r="29" spans="1:5" ht="15.75" customHeight="1">
      <c r="C29" s="430">
        <v>863.2</v>
      </c>
      <c r="D29" s="433">
        <f t="shared" si="0"/>
        <v>-5.2096268326030605E-3</v>
      </c>
      <c r="E29" s="432"/>
    </row>
    <row r="30" spans="1:5" ht="15.75" customHeight="1">
      <c r="C30" s="430">
        <v>860.57</v>
      </c>
      <c r="D30" s="433">
        <f t="shared" si="0"/>
        <v>-8.2405567230458884E-3</v>
      </c>
      <c r="E30" s="432"/>
    </row>
    <row r="31" spans="1:5" ht="15.75" customHeight="1">
      <c r="C31" s="430">
        <v>857.81</v>
      </c>
      <c r="D31" s="433">
        <f t="shared" si="0"/>
        <v>-1.1421304440773088E-2</v>
      </c>
      <c r="E31" s="432"/>
    </row>
    <row r="32" spans="1:5" ht="15.75" customHeight="1">
      <c r="C32" s="430">
        <v>866.98</v>
      </c>
      <c r="D32" s="433">
        <f t="shared" si="0"/>
        <v>-8.5338539310730822E-4</v>
      </c>
      <c r="E32" s="432"/>
    </row>
    <row r="33" spans="1:7" ht="15.75" customHeight="1">
      <c r="C33" s="430">
        <v>863.12</v>
      </c>
      <c r="D33" s="433">
        <f t="shared" si="0"/>
        <v>-5.3018224186241825E-3</v>
      </c>
      <c r="E33" s="432"/>
    </row>
    <row r="34" spans="1:7" ht="15.75" customHeight="1">
      <c r="C34" s="430">
        <v>865.15</v>
      </c>
      <c r="D34" s="433">
        <f t="shared" si="0"/>
        <v>-2.9623594233394411E-3</v>
      </c>
      <c r="E34" s="432"/>
    </row>
    <row r="35" spans="1:7" ht="15.75" customHeight="1">
      <c r="C35" s="430">
        <v>870.54</v>
      </c>
      <c r="D35" s="433">
        <f t="shared" si="0"/>
        <v>3.2493181848304567E-3</v>
      </c>
      <c r="E35" s="432"/>
    </row>
    <row r="36" spans="1:7" ht="15.75" customHeight="1">
      <c r="C36" s="430">
        <v>865.58</v>
      </c>
      <c r="D36" s="433">
        <f t="shared" si="0"/>
        <v>-2.4668081484760908E-3</v>
      </c>
      <c r="E36" s="432"/>
    </row>
    <row r="37" spans="1:7" ht="15.75" customHeight="1">
      <c r="C37" s="430">
        <v>869</v>
      </c>
      <c r="D37" s="433">
        <f t="shared" si="0"/>
        <v>1.4745531539248091E-3</v>
      </c>
      <c r="E37" s="432"/>
    </row>
    <row r="38" spans="1:7" ht="15.75" customHeight="1">
      <c r="C38" s="430">
        <v>872.42</v>
      </c>
      <c r="D38" s="433">
        <f t="shared" si="0"/>
        <v>5.415914456325709E-3</v>
      </c>
      <c r="E38" s="432"/>
    </row>
    <row r="39" spans="1:7" ht="15.75" customHeight="1">
      <c r="C39" s="430">
        <v>876.34</v>
      </c>
      <c r="D39" s="433">
        <f t="shared" si="0"/>
        <v>9.9334981713584576E-3</v>
      </c>
      <c r="E39" s="432"/>
    </row>
    <row r="40" spans="1:7" ht="15.75" customHeight="1">
      <c r="C40" s="430">
        <v>876.4</v>
      </c>
      <c r="D40" s="433">
        <f t="shared" si="0"/>
        <v>1.00026448608742E-2</v>
      </c>
      <c r="E40" s="432"/>
    </row>
    <row r="41" spans="1:7" ht="15.75" customHeight="1">
      <c r="C41" s="430">
        <v>865.88</v>
      </c>
      <c r="D41" s="433">
        <f t="shared" si="0"/>
        <v>-2.1210747008971126E-3</v>
      </c>
      <c r="E41" s="432"/>
    </row>
    <row r="42" spans="1:7" ht="15.75" customHeight="1">
      <c r="C42" s="430">
        <v>863.39</v>
      </c>
      <c r="D42" s="433">
        <f t="shared" si="0"/>
        <v>-4.9906623158030754E-3</v>
      </c>
      <c r="E42" s="432"/>
    </row>
    <row r="43" spans="1:7" ht="16.5" customHeight="1" thickBot="1">
      <c r="C43" s="434">
        <v>874.96</v>
      </c>
      <c r="D43" s="435">
        <f t="shared" si="0"/>
        <v>8.3431243124949227E-3</v>
      </c>
      <c r="E43" s="432"/>
    </row>
    <row r="44" spans="1:7" ht="16.5" customHeight="1" thickBot="1">
      <c r="C44" s="436"/>
      <c r="D44" s="432"/>
      <c r="E44" s="437"/>
    </row>
    <row r="45" spans="1:7" ht="16.5" customHeight="1" thickBot="1">
      <c r="B45" s="438" t="s">
        <v>38</v>
      </c>
      <c r="C45" s="439">
        <f>SUM(C24:C44)</f>
        <v>17354.409999999996</v>
      </c>
      <c r="D45" s="440"/>
      <c r="E45" s="436"/>
    </row>
    <row r="46" spans="1:7" ht="17.25" customHeight="1" thickBot="1">
      <c r="B46" s="438" t="s">
        <v>39</v>
      </c>
      <c r="C46" s="441">
        <f>AVERAGE(C24:C44)</f>
        <v>867.72049999999979</v>
      </c>
      <c r="E46" s="442"/>
    </row>
    <row r="47" spans="1:7" ht="17.25" customHeight="1" thickBot="1">
      <c r="A47" s="419"/>
      <c r="B47" s="443"/>
      <c r="D47" s="444"/>
      <c r="E47" s="442"/>
    </row>
    <row r="48" spans="1:7" ht="33.75" customHeight="1" thickBot="1">
      <c r="B48" s="445" t="s">
        <v>39</v>
      </c>
      <c r="C48" s="428" t="s">
        <v>40</v>
      </c>
      <c r="D48" s="446"/>
      <c r="G48" s="444"/>
    </row>
    <row r="49" spans="1:6" ht="17.25" customHeight="1" thickBot="1">
      <c r="B49" s="447">
        <f>C46</f>
        <v>867.72049999999979</v>
      </c>
      <c r="C49" s="448">
        <f>-IF(C46&lt;=80,10%,IF(C46&lt;250,7.5%,5%))</f>
        <v>-0.05</v>
      </c>
      <c r="D49" s="449">
        <f>IF(C46&lt;=80,C46*0.9,IF(C46&lt;250,C46*0.925,C46*0.95))</f>
        <v>824.33447499999977</v>
      </c>
    </row>
    <row r="50" spans="1:6" ht="17.25" customHeight="1" thickBot="1">
      <c r="B50" s="450"/>
      <c r="C50" s="451">
        <f>IF(C46&lt;=80, 10%, IF(C46&lt;250, 7.5%, 5%))</f>
        <v>0.05</v>
      </c>
      <c r="D50" s="449">
        <f>IF(C46&lt;=80, C46*1.1, IF(C46&lt;250, C46*1.075, C46*1.05))</f>
        <v>911.10652499999981</v>
      </c>
    </row>
    <row r="51" spans="1:6" ht="16.5" customHeight="1" thickBot="1">
      <c r="A51" s="452"/>
      <c r="B51" s="453"/>
      <c r="C51" s="419"/>
      <c r="D51" s="454"/>
      <c r="E51" s="419"/>
      <c r="F51" s="424"/>
    </row>
    <row r="52" spans="1:6" ht="16.5" customHeight="1">
      <c r="A52" s="419"/>
      <c r="B52" s="455" t="s">
        <v>22</v>
      </c>
      <c r="C52" s="455"/>
      <c r="D52" s="456" t="s">
        <v>23</v>
      </c>
      <c r="E52" s="457"/>
      <c r="F52" s="456" t="s">
        <v>24</v>
      </c>
    </row>
    <row r="53" spans="1:6" ht="34.5" customHeight="1">
      <c r="A53" s="421" t="s">
        <v>25</v>
      </c>
      <c r="B53" s="458"/>
      <c r="C53" s="419"/>
      <c r="D53" s="458"/>
      <c r="E53" s="419"/>
      <c r="F53" s="458"/>
    </row>
    <row r="54" spans="1:6" ht="34.5" customHeight="1">
      <c r="A54" s="421" t="s">
        <v>26</v>
      </c>
      <c r="B54" s="459"/>
      <c r="C54" s="460"/>
      <c r="D54" s="459"/>
      <c r="E54" s="419"/>
      <c r="F54" s="461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8" sqref="B28"/>
    </sheetView>
  </sheetViews>
  <sheetFormatPr defaultRowHeight="13.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2"/>
  </cols>
  <sheetData>
    <row r="1" spans="1:5" ht="18.75" customHeight="1">
      <c r="A1" s="463" t="s">
        <v>0</v>
      </c>
      <c r="B1" s="463"/>
      <c r="C1" s="463"/>
      <c r="D1" s="463"/>
      <c r="E1" s="463"/>
    </row>
    <row r="2" spans="1:5" ht="16.5" customHeight="1">
      <c r="A2" s="465" t="s">
        <v>1</v>
      </c>
      <c r="B2" s="466" t="s">
        <v>2</v>
      </c>
    </row>
    <row r="3" spans="1:5" ht="16.5" customHeight="1">
      <c r="A3" s="467" t="s">
        <v>3</v>
      </c>
      <c r="B3" s="467" t="s">
        <v>121</v>
      </c>
      <c r="D3" s="468"/>
      <c r="E3" s="469"/>
    </row>
    <row r="4" spans="1:5" ht="16.5" customHeight="1">
      <c r="A4" s="470" t="s">
        <v>4</v>
      </c>
      <c r="B4" s="471" t="s">
        <v>133</v>
      </c>
      <c r="C4" s="469"/>
      <c r="D4" s="469"/>
      <c r="E4" s="469"/>
    </row>
    <row r="5" spans="1:5" ht="16.5" customHeight="1">
      <c r="A5" s="470" t="s">
        <v>5</v>
      </c>
      <c r="B5" s="472">
        <v>98.8</v>
      </c>
      <c r="C5" s="469"/>
      <c r="D5" s="469"/>
      <c r="E5" s="469"/>
    </row>
    <row r="6" spans="1:5" ht="16.5" customHeight="1">
      <c r="A6" s="467" t="s">
        <v>6</v>
      </c>
      <c r="B6" s="471">
        <f>'Tenofovir Disoproxil Fumarate'!D43</f>
        <v>14.56</v>
      </c>
      <c r="C6" s="469"/>
      <c r="D6" s="469"/>
      <c r="E6" s="469"/>
    </row>
    <row r="7" spans="1:5" ht="16.5" customHeight="1">
      <c r="A7" s="467" t="s">
        <v>7</v>
      </c>
      <c r="B7" s="473">
        <f>B6/50*10/25</f>
        <v>0.11648</v>
      </c>
      <c r="C7" s="469"/>
      <c r="D7" s="469"/>
      <c r="E7" s="469"/>
    </row>
    <row r="8" spans="1:5" ht="15.75" customHeight="1">
      <c r="A8" s="469"/>
      <c r="B8" s="474"/>
      <c r="C8" s="469"/>
      <c r="D8" s="469"/>
      <c r="E8" s="469"/>
    </row>
    <row r="9" spans="1:5" ht="16.5" customHeight="1">
      <c r="A9" s="475" t="s">
        <v>9</v>
      </c>
      <c r="B9" s="476" t="s">
        <v>10</v>
      </c>
      <c r="C9" s="475" t="s">
        <v>11</v>
      </c>
      <c r="D9" s="475" t="s">
        <v>12</v>
      </c>
      <c r="E9" s="475" t="s">
        <v>13</v>
      </c>
    </row>
    <row r="10" spans="1:5" ht="16.5" customHeight="1">
      <c r="A10" s="477">
        <v>1</v>
      </c>
      <c r="B10" s="478">
        <v>22504886</v>
      </c>
      <c r="C10" s="478">
        <v>42579.7</v>
      </c>
      <c r="D10" s="479">
        <v>1</v>
      </c>
      <c r="E10" s="480">
        <v>16.13</v>
      </c>
    </row>
    <row r="11" spans="1:5" ht="16.5" customHeight="1">
      <c r="A11" s="477">
        <v>2</v>
      </c>
      <c r="B11" s="478">
        <v>22554182</v>
      </c>
      <c r="C11" s="478">
        <v>43282.400000000001</v>
      </c>
      <c r="D11" s="479">
        <v>1.08</v>
      </c>
      <c r="E11" s="479">
        <v>16.16</v>
      </c>
    </row>
    <row r="12" spans="1:5" ht="16.5" customHeight="1">
      <c r="A12" s="477">
        <v>3</v>
      </c>
      <c r="B12" s="478">
        <v>22518449</v>
      </c>
      <c r="C12" s="478">
        <v>43370.400000000001</v>
      </c>
      <c r="D12" s="479">
        <v>1.08</v>
      </c>
      <c r="E12" s="479">
        <v>16.16</v>
      </c>
    </row>
    <row r="13" spans="1:5" ht="16.5" customHeight="1">
      <c r="A13" s="477">
        <v>4</v>
      </c>
      <c r="B13" s="478">
        <v>22509713</v>
      </c>
      <c r="C13" s="478">
        <v>43767.199999999997</v>
      </c>
      <c r="D13" s="479">
        <v>1.08</v>
      </c>
      <c r="E13" s="479">
        <v>16.16</v>
      </c>
    </row>
    <row r="14" spans="1:5" ht="16.5" customHeight="1">
      <c r="A14" s="477">
        <v>5</v>
      </c>
      <c r="B14" s="478">
        <v>22363776</v>
      </c>
      <c r="C14" s="478">
        <v>43210.5</v>
      </c>
      <c r="D14" s="479">
        <v>1.0900000000000001</v>
      </c>
      <c r="E14" s="479">
        <v>16.149999999999999</v>
      </c>
    </row>
    <row r="15" spans="1:5" ht="16.5" customHeight="1">
      <c r="A15" s="477">
        <v>6</v>
      </c>
      <c r="B15" s="481">
        <v>22406796</v>
      </c>
      <c r="C15" s="481">
        <v>42380.2</v>
      </c>
      <c r="D15" s="482">
        <v>1.08</v>
      </c>
      <c r="E15" s="482">
        <v>16.16</v>
      </c>
    </row>
    <row r="16" spans="1:5" ht="16.5" customHeight="1">
      <c r="A16" s="483" t="s">
        <v>14</v>
      </c>
      <c r="B16" s="484">
        <f>AVERAGE(B10:B15)</f>
        <v>22476300.333333332</v>
      </c>
      <c r="C16" s="485">
        <f>AVERAGE(C10:C15)</f>
        <v>43098.400000000001</v>
      </c>
      <c r="D16" s="486">
        <f>AVERAGE(D10:D15)</f>
        <v>1.0683333333333334</v>
      </c>
      <c r="E16" s="486">
        <f>AVERAGE(E10:E15)</f>
        <v>16.153333333333332</v>
      </c>
    </row>
    <row r="17" spans="1:5" ht="16.5" customHeight="1">
      <c r="A17" s="487" t="s">
        <v>15</v>
      </c>
      <c r="B17" s="488">
        <f>(STDEV(B10:B15)/B16)</f>
        <v>3.2856274366835393E-3</v>
      </c>
      <c r="C17" s="489"/>
      <c r="D17" s="489"/>
      <c r="E17" s="490"/>
    </row>
    <row r="18" spans="1:5" s="464" customFormat="1" ht="16.5" customHeight="1">
      <c r="A18" s="491" t="s">
        <v>16</v>
      </c>
      <c r="B18" s="492">
        <f>COUNT(B10:B15)</f>
        <v>6</v>
      </c>
      <c r="C18" s="493"/>
      <c r="D18" s="494"/>
      <c r="E18" s="495"/>
    </row>
    <row r="19" spans="1:5" s="464" customFormat="1" ht="15.75" customHeight="1">
      <c r="A19" s="469"/>
      <c r="B19" s="469"/>
      <c r="C19" s="469"/>
      <c r="D19" s="469"/>
      <c r="E19" s="469"/>
    </row>
    <row r="20" spans="1:5" s="464" customFormat="1" ht="16.5" customHeight="1">
      <c r="A20" s="470" t="s">
        <v>17</v>
      </c>
      <c r="B20" s="496" t="s">
        <v>18</v>
      </c>
      <c r="C20" s="497"/>
      <c r="D20" s="497"/>
      <c r="E20" s="497"/>
    </row>
    <row r="21" spans="1:5" ht="16.5" customHeight="1">
      <c r="A21" s="470"/>
      <c r="B21" s="496" t="s">
        <v>19</v>
      </c>
      <c r="C21" s="497"/>
      <c r="D21" s="497"/>
      <c r="E21" s="497"/>
    </row>
    <row r="22" spans="1:5" ht="16.5" customHeight="1">
      <c r="A22" s="470"/>
      <c r="B22" s="496" t="s">
        <v>20</v>
      </c>
      <c r="C22" s="497"/>
      <c r="D22" s="497"/>
      <c r="E22" s="497"/>
    </row>
    <row r="23" spans="1:5" ht="15.75" customHeight="1">
      <c r="A23" s="469"/>
      <c r="B23" s="469"/>
      <c r="C23" s="469"/>
      <c r="D23" s="469"/>
      <c r="E23" s="469"/>
    </row>
    <row r="24" spans="1:5" ht="16.5" customHeight="1">
      <c r="A24" s="465" t="s">
        <v>1</v>
      </c>
      <c r="B24" s="466" t="s">
        <v>21</v>
      </c>
    </row>
    <row r="25" spans="1:5" ht="16.5" customHeight="1">
      <c r="A25" s="470" t="s">
        <v>4</v>
      </c>
      <c r="B25" s="498" t="str">
        <f>B4</f>
        <v>Tenofovir DF</v>
      </c>
      <c r="C25" s="469"/>
      <c r="D25" s="469"/>
      <c r="E25" s="469"/>
    </row>
    <row r="26" spans="1:5" ht="16.5" customHeight="1">
      <c r="A26" s="470" t="s">
        <v>5</v>
      </c>
      <c r="B26" s="471">
        <v>98.8</v>
      </c>
      <c r="C26" s="469"/>
      <c r="D26" s="469"/>
      <c r="E26" s="469"/>
    </row>
    <row r="27" spans="1:5" ht="16.5" customHeight="1">
      <c r="A27" s="467" t="s">
        <v>6</v>
      </c>
      <c r="B27" s="471">
        <f>'Tenofovir Disoproxil Fumarate'!D96</f>
        <v>14.37</v>
      </c>
      <c r="C27" s="469"/>
      <c r="D27" s="469"/>
      <c r="E27" s="469"/>
    </row>
    <row r="28" spans="1:5" ht="16.5" customHeight="1">
      <c r="A28" s="467" t="s">
        <v>7</v>
      </c>
      <c r="B28" s="473">
        <f>B27/50</f>
        <v>0.28739999999999999</v>
      </c>
      <c r="C28" s="469"/>
      <c r="D28" s="469"/>
      <c r="E28" s="469"/>
    </row>
    <row r="29" spans="1:5" ht="15.75" customHeight="1">
      <c r="A29" s="469"/>
      <c r="B29" s="469"/>
      <c r="C29" s="469"/>
      <c r="D29" s="469"/>
      <c r="E29" s="469"/>
    </row>
    <row r="30" spans="1:5" ht="16.5" customHeight="1">
      <c r="A30" s="475" t="s">
        <v>9</v>
      </c>
      <c r="B30" s="476" t="s">
        <v>10</v>
      </c>
      <c r="C30" s="475" t="s">
        <v>11</v>
      </c>
      <c r="D30" s="475" t="s">
        <v>12</v>
      </c>
      <c r="E30" s="475" t="s">
        <v>13</v>
      </c>
    </row>
    <row r="31" spans="1:5" ht="16.5" customHeight="1">
      <c r="A31" s="477">
        <v>1</v>
      </c>
      <c r="B31" s="478">
        <v>70309229</v>
      </c>
      <c r="C31" s="478">
        <v>101747.3</v>
      </c>
      <c r="D31" s="479">
        <v>1.2</v>
      </c>
      <c r="E31" s="480">
        <v>17.03</v>
      </c>
    </row>
    <row r="32" spans="1:5" ht="16.5" customHeight="1">
      <c r="A32" s="477">
        <v>2</v>
      </c>
      <c r="B32" s="478">
        <v>70157702</v>
      </c>
      <c r="C32" s="478">
        <v>103160</v>
      </c>
      <c r="D32" s="479">
        <v>1.2</v>
      </c>
      <c r="E32" s="479">
        <v>17.04</v>
      </c>
    </row>
    <row r="33" spans="1:7" ht="16.5" customHeight="1">
      <c r="A33" s="477">
        <v>3</v>
      </c>
      <c r="B33" s="478">
        <v>69877450</v>
      </c>
      <c r="C33" s="478">
        <v>98949.5</v>
      </c>
      <c r="D33" s="479">
        <v>1.2</v>
      </c>
      <c r="E33" s="479">
        <v>17.04</v>
      </c>
    </row>
    <row r="34" spans="1:7" ht="16.5" customHeight="1">
      <c r="A34" s="477">
        <v>4</v>
      </c>
      <c r="B34" s="478">
        <v>70180573</v>
      </c>
      <c r="C34" s="478">
        <v>99129.1</v>
      </c>
      <c r="D34" s="479">
        <v>1.2</v>
      </c>
      <c r="E34" s="479">
        <v>17.04</v>
      </c>
    </row>
    <row r="35" spans="1:7" ht="16.5" customHeight="1">
      <c r="A35" s="477">
        <v>5</v>
      </c>
      <c r="B35" s="478">
        <v>70297651</v>
      </c>
      <c r="C35" s="478">
        <v>100492.5</v>
      </c>
      <c r="D35" s="479">
        <v>1.2</v>
      </c>
      <c r="E35" s="479">
        <v>17.04</v>
      </c>
    </row>
    <row r="36" spans="1:7" ht="16.5" customHeight="1">
      <c r="A36" s="477">
        <v>6</v>
      </c>
      <c r="B36" s="481">
        <v>70246833</v>
      </c>
      <c r="C36" s="481">
        <v>101960.9</v>
      </c>
      <c r="D36" s="482">
        <v>1.2</v>
      </c>
      <c r="E36" s="482">
        <v>17.03</v>
      </c>
    </row>
    <row r="37" spans="1:7" ht="16.5" customHeight="1">
      <c r="A37" s="483" t="s">
        <v>14</v>
      </c>
      <c r="B37" s="484">
        <f>AVERAGE(B31:B36)</f>
        <v>70178239.666666672</v>
      </c>
      <c r="C37" s="485">
        <f>AVERAGE(C31:C36)</f>
        <v>100906.55</v>
      </c>
      <c r="D37" s="486">
        <f>AVERAGE(D31:D36)</f>
        <v>1.2</v>
      </c>
      <c r="E37" s="486">
        <f>AVERAGE(E31:E36)</f>
        <v>17.036666666666665</v>
      </c>
    </row>
    <row r="38" spans="1:7" ht="16.5" customHeight="1">
      <c r="A38" s="487" t="s">
        <v>15</v>
      </c>
      <c r="B38" s="488">
        <f>(STDEV(B31:B36)/B37)</f>
        <v>2.2712000421335255E-3</v>
      </c>
      <c r="C38" s="489"/>
      <c r="D38" s="489"/>
      <c r="E38" s="490"/>
    </row>
    <row r="39" spans="1:7" s="464" customFormat="1" ht="16.5" customHeight="1">
      <c r="A39" s="491" t="s">
        <v>16</v>
      </c>
      <c r="B39" s="492">
        <f>COUNT(B31:B36)</f>
        <v>6</v>
      </c>
      <c r="C39" s="493"/>
      <c r="D39" s="494"/>
      <c r="E39" s="495"/>
    </row>
    <row r="40" spans="1:7" s="464" customFormat="1" ht="15.75" customHeight="1">
      <c r="A40" s="469"/>
      <c r="B40" s="469"/>
      <c r="C40" s="469"/>
      <c r="D40" s="469"/>
      <c r="E40" s="469"/>
    </row>
    <row r="41" spans="1:7" s="464" customFormat="1" ht="16.5" customHeight="1">
      <c r="A41" s="470" t="s">
        <v>17</v>
      </c>
      <c r="B41" s="496" t="s">
        <v>18</v>
      </c>
      <c r="C41" s="497"/>
      <c r="D41" s="497"/>
      <c r="E41" s="497"/>
    </row>
    <row r="42" spans="1:7" ht="16.5" customHeight="1">
      <c r="A42" s="470"/>
      <c r="B42" s="496" t="s">
        <v>19</v>
      </c>
      <c r="C42" s="497"/>
      <c r="D42" s="497"/>
      <c r="E42" s="497"/>
    </row>
    <row r="43" spans="1:7" ht="16.5" customHeight="1">
      <c r="A43" s="470"/>
      <c r="B43" s="496" t="s">
        <v>20</v>
      </c>
      <c r="C43" s="497"/>
      <c r="D43" s="497"/>
      <c r="E43" s="497"/>
    </row>
    <row r="44" spans="1:7" ht="14.25" customHeight="1" thickBot="1">
      <c r="A44" s="499"/>
      <c r="B44" s="500"/>
      <c r="D44" s="501"/>
      <c r="F44" s="502"/>
      <c r="G44" s="502"/>
    </row>
    <row r="45" spans="1:7" ht="15" customHeight="1">
      <c r="B45" s="503" t="s">
        <v>22</v>
      </c>
      <c r="C45" s="503"/>
      <c r="E45" s="504" t="s">
        <v>23</v>
      </c>
      <c r="F45" s="505"/>
      <c r="G45" s="504" t="s">
        <v>24</v>
      </c>
    </row>
    <row r="46" spans="1:7" ht="15" customHeight="1">
      <c r="A46" s="506" t="s">
        <v>25</v>
      </c>
      <c r="B46" s="507"/>
      <c r="C46" s="507"/>
      <c r="E46" s="507"/>
      <c r="G46" s="507"/>
    </row>
    <row r="47" spans="1:7" ht="15" customHeight="1">
      <c r="A47" s="506" t="s">
        <v>26</v>
      </c>
      <c r="B47" s="508"/>
      <c r="C47" s="508"/>
      <c r="E47" s="508"/>
      <c r="G47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71" zoomScale="50" zoomScaleNormal="60" zoomScaleSheetLayoutView="50" zoomScalePageLayoutView="43" workbookViewId="0">
      <selection activeCell="G109" sqref="G109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>
      <c r="A1" s="363" t="s">
        <v>41</v>
      </c>
      <c r="B1" s="363"/>
      <c r="C1" s="363"/>
      <c r="D1" s="363"/>
      <c r="E1" s="363"/>
      <c r="F1" s="363"/>
      <c r="G1" s="363"/>
      <c r="H1" s="363"/>
      <c r="I1" s="363"/>
    </row>
    <row r="2" spans="1:9" ht="18.7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ht="18.75" customHeight="1">
      <c r="A3" s="363"/>
      <c r="B3" s="363"/>
      <c r="C3" s="363"/>
      <c r="D3" s="363"/>
      <c r="E3" s="363"/>
      <c r="F3" s="363"/>
      <c r="G3" s="363"/>
      <c r="H3" s="363"/>
      <c r="I3" s="363"/>
    </row>
    <row r="4" spans="1:9" ht="18.75" customHeight="1">
      <c r="A4" s="363"/>
      <c r="B4" s="363"/>
      <c r="C4" s="363"/>
      <c r="D4" s="363"/>
      <c r="E4" s="363"/>
      <c r="F4" s="363"/>
      <c r="G4" s="363"/>
      <c r="H4" s="363"/>
      <c r="I4" s="363"/>
    </row>
    <row r="5" spans="1:9" ht="18.75" customHeight="1">
      <c r="A5" s="363"/>
      <c r="B5" s="363"/>
      <c r="C5" s="363"/>
      <c r="D5" s="363"/>
      <c r="E5" s="363"/>
      <c r="F5" s="363"/>
      <c r="G5" s="363"/>
      <c r="H5" s="363"/>
      <c r="I5" s="363"/>
    </row>
    <row r="6" spans="1:9" ht="18.75" customHeight="1">
      <c r="A6" s="363"/>
      <c r="B6" s="363"/>
      <c r="C6" s="363"/>
      <c r="D6" s="363"/>
      <c r="E6" s="363"/>
      <c r="F6" s="363"/>
      <c r="G6" s="363"/>
      <c r="H6" s="363"/>
      <c r="I6" s="363"/>
    </row>
    <row r="7" spans="1:9" ht="18.75" customHeight="1">
      <c r="A7" s="363"/>
      <c r="B7" s="363"/>
      <c r="C7" s="363"/>
      <c r="D7" s="363"/>
      <c r="E7" s="363"/>
      <c r="F7" s="363"/>
      <c r="G7" s="363"/>
      <c r="H7" s="363"/>
      <c r="I7" s="363"/>
    </row>
    <row r="8" spans="1:9">
      <c r="A8" s="364" t="s">
        <v>42</v>
      </c>
      <c r="B8" s="364"/>
      <c r="C8" s="364"/>
      <c r="D8" s="364"/>
      <c r="E8" s="364"/>
      <c r="F8" s="364"/>
      <c r="G8" s="364"/>
      <c r="H8" s="364"/>
      <c r="I8" s="364"/>
    </row>
    <row r="9" spans="1:9">
      <c r="A9" s="364"/>
      <c r="B9" s="364"/>
      <c r="C9" s="364"/>
      <c r="D9" s="364"/>
      <c r="E9" s="364"/>
      <c r="F9" s="364"/>
      <c r="G9" s="364"/>
      <c r="H9" s="364"/>
      <c r="I9" s="364"/>
    </row>
    <row r="10" spans="1:9">
      <c r="A10" s="364"/>
      <c r="B10" s="364"/>
      <c r="C10" s="364"/>
      <c r="D10" s="364"/>
      <c r="E10" s="364"/>
      <c r="F10" s="364"/>
      <c r="G10" s="364"/>
      <c r="H10" s="364"/>
      <c r="I10" s="364"/>
    </row>
    <row r="11" spans="1:9">
      <c r="A11" s="364"/>
      <c r="B11" s="364"/>
      <c r="C11" s="364"/>
      <c r="D11" s="364"/>
      <c r="E11" s="364"/>
      <c r="F11" s="364"/>
      <c r="G11" s="364"/>
      <c r="H11" s="364"/>
      <c r="I11" s="364"/>
    </row>
    <row r="12" spans="1:9">
      <c r="A12" s="364"/>
      <c r="B12" s="364"/>
      <c r="C12" s="364"/>
      <c r="D12" s="364"/>
      <c r="E12" s="364"/>
      <c r="F12" s="364"/>
      <c r="G12" s="364"/>
      <c r="H12" s="364"/>
      <c r="I12" s="364"/>
    </row>
    <row r="13" spans="1:9">
      <c r="A13" s="364"/>
      <c r="B13" s="364"/>
      <c r="C13" s="364"/>
      <c r="D13" s="364"/>
      <c r="E13" s="364"/>
      <c r="F13" s="364"/>
      <c r="G13" s="364"/>
      <c r="H13" s="364"/>
      <c r="I13" s="364"/>
    </row>
    <row r="14" spans="1:9">
      <c r="A14" s="364"/>
      <c r="B14" s="364"/>
      <c r="C14" s="364"/>
      <c r="D14" s="364"/>
      <c r="E14" s="364"/>
      <c r="F14" s="364"/>
      <c r="G14" s="364"/>
      <c r="H14" s="364"/>
      <c r="I14" s="364"/>
    </row>
    <row r="15" spans="1:9" ht="19.5" customHeight="1" thickBot="1">
      <c r="A15" s="5"/>
    </row>
    <row r="16" spans="1:9" ht="19.5" customHeight="1" thickBot="1">
      <c r="A16" s="365" t="s">
        <v>27</v>
      </c>
      <c r="B16" s="366"/>
      <c r="C16" s="366"/>
      <c r="D16" s="366"/>
      <c r="E16" s="366"/>
      <c r="F16" s="366"/>
      <c r="G16" s="366"/>
      <c r="H16" s="367"/>
    </row>
    <row r="17" spans="1:14" ht="20.25" customHeight="1">
      <c r="A17" s="368" t="s">
        <v>43</v>
      </c>
      <c r="B17" s="368"/>
      <c r="C17" s="368"/>
      <c r="D17" s="368"/>
      <c r="E17" s="368"/>
      <c r="F17" s="368"/>
      <c r="G17" s="368"/>
      <c r="H17" s="368"/>
    </row>
    <row r="18" spans="1:14" ht="26.25" customHeight="1">
      <c r="A18" s="6" t="s">
        <v>29</v>
      </c>
      <c r="B18" s="369" t="s">
        <v>121</v>
      </c>
      <c r="C18" s="369"/>
      <c r="D18" s="7"/>
      <c r="E18" s="8"/>
      <c r="F18" s="9"/>
      <c r="G18" s="9"/>
      <c r="H18" s="9"/>
    </row>
    <row r="19" spans="1:14" ht="26.25" customHeight="1">
      <c r="A19" s="6" t="s">
        <v>30</v>
      </c>
      <c r="B19" s="332" t="s">
        <v>127</v>
      </c>
      <c r="C19" s="9">
        <v>29</v>
      </c>
      <c r="D19" s="9"/>
      <c r="E19" s="9"/>
      <c r="F19" s="9"/>
      <c r="G19" s="9"/>
      <c r="H19" s="9"/>
    </row>
    <row r="20" spans="1:14" ht="26.25" customHeight="1">
      <c r="A20" s="6" t="s">
        <v>31</v>
      </c>
      <c r="B20" s="370" t="s">
        <v>122</v>
      </c>
      <c r="C20" s="370"/>
      <c r="D20" s="9"/>
      <c r="E20" s="9"/>
      <c r="F20" s="9"/>
      <c r="G20" s="9"/>
      <c r="H20" s="9"/>
    </row>
    <row r="21" spans="1:14" ht="26.25" customHeight="1">
      <c r="A21" s="6" t="s">
        <v>32</v>
      </c>
      <c r="B21" s="370" t="s">
        <v>8</v>
      </c>
      <c r="C21" s="370"/>
      <c r="D21" s="370"/>
      <c r="E21" s="370"/>
      <c r="F21" s="370"/>
      <c r="G21" s="370"/>
      <c r="H21" s="370"/>
      <c r="I21" s="10"/>
    </row>
    <row r="22" spans="1:14" ht="26.25" customHeight="1">
      <c r="A22" s="6" t="s">
        <v>33</v>
      </c>
      <c r="B22" s="11">
        <v>42618</v>
      </c>
      <c r="C22" s="9"/>
      <c r="D22" s="9"/>
      <c r="E22" s="9"/>
      <c r="F22" s="9"/>
      <c r="G22" s="9"/>
      <c r="H22" s="9"/>
    </row>
    <row r="23" spans="1:14" ht="26.25" customHeight="1">
      <c r="A23" s="6" t="s">
        <v>34</v>
      </c>
      <c r="B23" s="11" t="s">
        <v>131</v>
      </c>
      <c r="C23" s="9"/>
      <c r="D23" s="9"/>
      <c r="E23" s="9"/>
      <c r="F23" s="9"/>
      <c r="G23" s="9"/>
      <c r="H23" s="9"/>
    </row>
    <row r="24" spans="1:14" ht="18.75">
      <c r="A24" s="6"/>
      <c r="B24" s="12"/>
    </row>
    <row r="25" spans="1:14" ht="18.75">
      <c r="A25" s="13" t="s">
        <v>1</v>
      </c>
      <c r="B25" s="12"/>
    </row>
    <row r="26" spans="1:14" ht="26.25" customHeight="1">
      <c r="A26" s="14" t="s">
        <v>4</v>
      </c>
      <c r="B26" s="369" t="s">
        <v>123</v>
      </c>
      <c r="C26" s="369"/>
    </row>
    <row r="27" spans="1:14" ht="26.25" customHeight="1">
      <c r="A27" s="15" t="s">
        <v>44</v>
      </c>
      <c r="B27" s="371" t="s">
        <v>124</v>
      </c>
      <c r="C27" s="371"/>
    </row>
    <row r="28" spans="1:14" ht="27" customHeight="1" thickBot="1">
      <c r="A28" s="15" t="s">
        <v>5</v>
      </c>
      <c r="B28" s="16">
        <v>98.8</v>
      </c>
    </row>
    <row r="29" spans="1:14" s="3" customFormat="1" ht="27" customHeight="1" thickBot="1">
      <c r="A29" s="15" t="s">
        <v>45</v>
      </c>
      <c r="B29" s="17">
        <v>0</v>
      </c>
      <c r="C29" s="352" t="s">
        <v>46</v>
      </c>
      <c r="D29" s="353"/>
      <c r="E29" s="353"/>
      <c r="F29" s="353"/>
      <c r="G29" s="354"/>
      <c r="I29" s="18"/>
      <c r="J29" s="18"/>
      <c r="K29" s="18"/>
      <c r="L29" s="18"/>
    </row>
    <row r="30" spans="1:14" s="3" customFormat="1" ht="19.5" customHeight="1" thickBot="1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>
      <c r="A31" s="15" t="s">
        <v>48</v>
      </c>
      <c r="B31" s="22">
        <v>1</v>
      </c>
      <c r="C31" s="355" t="s">
        <v>49</v>
      </c>
      <c r="D31" s="356"/>
      <c r="E31" s="356"/>
      <c r="F31" s="356"/>
      <c r="G31" s="356"/>
      <c r="H31" s="357"/>
      <c r="I31" s="18"/>
      <c r="J31" s="18"/>
      <c r="K31" s="18"/>
      <c r="L31" s="18"/>
    </row>
    <row r="32" spans="1:14" s="3" customFormat="1" ht="27" customHeight="1" thickBot="1">
      <c r="A32" s="15" t="s">
        <v>50</v>
      </c>
      <c r="B32" s="22">
        <v>1</v>
      </c>
      <c r="C32" s="355" t="s">
        <v>51</v>
      </c>
      <c r="D32" s="356"/>
      <c r="E32" s="356"/>
      <c r="F32" s="356"/>
      <c r="G32" s="356"/>
      <c r="H32" s="357"/>
      <c r="I32" s="18"/>
      <c r="J32" s="18"/>
      <c r="K32" s="18"/>
      <c r="L32" s="23"/>
      <c r="M32" s="23"/>
      <c r="N32" s="24"/>
    </row>
    <row r="33" spans="1:14" s="3" customFormat="1" ht="17.25" customHeight="1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>
      <c r="A36" s="28" t="s">
        <v>54</v>
      </c>
      <c r="B36" s="29">
        <v>50</v>
      </c>
      <c r="C36" s="5"/>
      <c r="D36" s="342" t="s">
        <v>55</v>
      </c>
      <c r="E36" s="362"/>
      <c r="F36" s="342" t="s">
        <v>56</v>
      </c>
      <c r="G36" s="343"/>
      <c r="J36" s="18"/>
      <c r="K36" s="18"/>
      <c r="L36" s="23"/>
      <c r="M36" s="23"/>
      <c r="N36" s="24"/>
    </row>
    <row r="37" spans="1:14" s="3" customFormat="1" ht="27" customHeight="1" thickBot="1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>
      <c r="A38" s="30" t="s">
        <v>62</v>
      </c>
      <c r="B38" s="31">
        <v>25</v>
      </c>
      <c r="C38" s="37">
        <v>1</v>
      </c>
      <c r="D38" s="38">
        <v>22490182</v>
      </c>
      <c r="E38" s="39">
        <f>IF(ISBLANK(D38),"-",$D$48/$D$45*D38)</f>
        <v>23451245.30075188</v>
      </c>
      <c r="F38" s="38">
        <v>23961845</v>
      </c>
      <c r="G38" s="40">
        <f>IF(ISBLANK(F38),"-",$D$48/$F$45*F38)</f>
        <v>23455396.087674923</v>
      </c>
      <c r="I38" s="41"/>
      <c r="J38" s="18"/>
      <c r="K38" s="18"/>
      <c r="L38" s="23"/>
      <c r="M38" s="23"/>
      <c r="N38" s="24"/>
    </row>
    <row r="39" spans="1:14" s="3" customFormat="1" ht="26.25" customHeight="1">
      <c r="A39" s="30" t="s">
        <v>63</v>
      </c>
      <c r="B39" s="31">
        <v>1</v>
      </c>
      <c r="C39" s="42">
        <v>2</v>
      </c>
      <c r="D39" s="43">
        <v>22418694</v>
      </c>
      <c r="E39" s="44">
        <f>IF(ISBLANK(D39),"-",$D$48/$D$45*D39)</f>
        <v>23376702.434711039</v>
      </c>
      <c r="F39" s="43">
        <v>23972605</v>
      </c>
      <c r="G39" s="45">
        <f>IF(ISBLANK(F39),"-",$D$48/$F$45*F39)</f>
        <v>23465928.668196306</v>
      </c>
      <c r="I39" s="333">
        <f>ABS((F43/D43*D42)-F42)/D42</f>
        <v>9.7190476940272859E-4</v>
      </c>
      <c r="J39" s="18"/>
      <c r="K39" s="18"/>
      <c r="L39" s="23"/>
      <c r="M39" s="23"/>
      <c r="N39" s="24"/>
    </row>
    <row r="40" spans="1:14" ht="26.25" customHeight="1">
      <c r="A40" s="30" t="s">
        <v>64</v>
      </c>
      <c r="B40" s="31">
        <v>1</v>
      </c>
      <c r="C40" s="42">
        <v>3</v>
      </c>
      <c r="D40" s="43">
        <v>22497418</v>
      </c>
      <c r="E40" s="44">
        <f>IF(ISBLANK(D40),"-",$D$48/$D$45*D40)</f>
        <v>23458790.513636161</v>
      </c>
      <c r="F40" s="43">
        <v>23935432</v>
      </c>
      <c r="G40" s="45">
        <f>IF(ISBLANK(F40),"-",$D$48/$F$45*F40)</f>
        <v>23429541.343315139</v>
      </c>
      <c r="I40" s="333"/>
      <c r="L40" s="23"/>
      <c r="M40" s="23"/>
      <c r="N40" s="5"/>
    </row>
    <row r="41" spans="1:14" ht="27" customHeight="1" thickBot="1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>
      <c r="A42" s="30" t="s">
        <v>66</v>
      </c>
      <c r="B42" s="31">
        <v>1</v>
      </c>
      <c r="C42" s="51" t="s">
        <v>67</v>
      </c>
      <c r="D42" s="52">
        <f>AVERAGE(D38:D41)</f>
        <v>22468764.666666668</v>
      </c>
      <c r="E42" s="53">
        <f>AVERAGE(E38:E41)</f>
        <v>23428912.749699693</v>
      </c>
      <c r="F42" s="52">
        <f>AVERAGE(F38:F41)</f>
        <v>23956627.333333332</v>
      </c>
      <c r="G42" s="54">
        <f>AVERAGE(G38:G41)</f>
        <v>23450288.699728787</v>
      </c>
      <c r="H42" s="4"/>
    </row>
    <row r="43" spans="1:14" ht="26.25" customHeight="1">
      <c r="A43" s="30" t="s">
        <v>68</v>
      </c>
      <c r="B43" s="31">
        <v>1</v>
      </c>
      <c r="C43" s="55" t="s">
        <v>69</v>
      </c>
      <c r="D43" s="56">
        <v>14.56</v>
      </c>
      <c r="E43" s="5"/>
      <c r="F43" s="56">
        <v>15.51</v>
      </c>
      <c r="H43" s="4"/>
    </row>
    <row r="44" spans="1:14" ht="26.25" customHeight="1">
      <c r="A44" s="30" t="s">
        <v>70</v>
      </c>
      <c r="B44" s="31">
        <v>1</v>
      </c>
      <c r="C44" s="57" t="s">
        <v>71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>
      <c r="A46" s="334" t="s">
        <v>74</v>
      </c>
      <c r="B46" s="338"/>
      <c r="C46" s="57" t="s">
        <v>75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>
      <c r="A47" s="336"/>
      <c r="B47" s="339"/>
      <c r="C47" s="65" t="s">
        <v>76</v>
      </c>
      <c r="D47" s="66">
        <v>0.12</v>
      </c>
      <c r="E47" s="67"/>
      <c r="F47" s="63"/>
      <c r="H47" s="4"/>
    </row>
    <row r="48" spans="1:14" ht="18.75">
      <c r="C48" s="68" t="s">
        <v>77</v>
      </c>
      <c r="D48" s="60">
        <f>D47*$B$45</f>
        <v>15</v>
      </c>
      <c r="F48" s="69"/>
      <c r="H48" s="4"/>
    </row>
    <row r="49" spans="1:12" ht="19.5" customHeight="1" thickBot="1">
      <c r="C49" s="70" t="s">
        <v>78</v>
      </c>
      <c r="D49" s="71">
        <f>D48/B34</f>
        <v>15</v>
      </c>
      <c r="F49" s="69"/>
      <c r="H49" s="4"/>
    </row>
    <row r="50" spans="1:12" ht="18.75">
      <c r="C50" s="28" t="s">
        <v>79</v>
      </c>
      <c r="D50" s="72">
        <f>AVERAGE(E38:E41,G38:G41)</f>
        <v>23439600.724714238</v>
      </c>
      <c r="F50" s="73"/>
      <c r="H50" s="4"/>
    </row>
    <row r="51" spans="1:12" ht="18.75">
      <c r="C51" s="30" t="s">
        <v>80</v>
      </c>
      <c r="D51" s="74">
        <f>STDEV(E38:E41,G38:G41)/D50</f>
        <v>1.4154659798452621E-3</v>
      </c>
      <c r="F51" s="73"/>
      <c r="H51" s="4"/>
    </row>
    <row r="52" spans="1:12" ht="19.5" customHeight="1" thickBot="1">
      <c r="C52" s="75" t="s">
        <v>16</v>
      </c>
      <c r="D52" s="76">
        <f>COUNT(E38:E41,G38:G41)</f>
        <v>6</v>
      </c>
      <c r="F52" s="73"/>
    </row>
    <row r="54" spans="1:12" ht="18.75">
      <c r="A54" s="77" t="s">
        <v>1</v>
      </c>
      <c r="B54" s="78" t="s">
        <v>81</v>
      </c>
    </row>
    <row r="55" spans="1:12" ht="18.75">
      <c r="A55" s="5" t="s">
        <v>82</v>
      </c>
      <c r="B55" s="79" t="str">
        <f>B21</f>
        <v>Tenofovir Disoproxil Fumarate 300mg, Lamivudine 300mg, Efavirenz 600mg</v>
      </c>
    </row>
    <row r="56" spans="1:12" ht="26.25" customHeight="1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>
      <c r="A57" s="79" t="s">
        <v>84</v>
      </c>
      <c r="B57" s="81">
        <f>Uniformity!C46</f>
        <v>867.72049999999979</v>
      </c>
      <c r="H57" s="59"/>
    </row>
    <row r="58" spans="1:12" ht="19.5" customHeight="1" thickBot="1">
      <c r="H58" s="59"/>
    </row>
    <row r="59" spans="1:12" s="3" customFormat="1" ht="27" customHeight="1" thickBot="1">
      <c r="A59" s="28" t="s">
        <v>85</v>
      </c>
      <c r="B59" s="29">
        <v>200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>
      <c r="A60" s="30" t="s">
        <v>89</v>
      </c>
      <c r="B60" s="31">
        <v>4</v>
      </c>
      <c r="C60" s="344" t="s">
        <v>90</v>
      </c>
      <c r="D60" s="347">
        <v>877.93</v>
      </c>
      <c r="E60" s="84">
        <v>1</v>
      </c>
      <c r="F60" s="85">
        <v>22383594</v>
      </c>
      <c r="G60" s="86">
        <f>IF(ISBLANK(F60),"-",(F60/$D$50*$D$47*$B$68)*($B$57/$D$60))</f>
        <v>283.1527821482544</v>
      </c>
      <c r="H60" s="87">
        <f t="shared" ref="H60:H71" si="0">IF(ISBLANK(F60),"-",G60/$B$56)</f>
        <v>0.943842607160848</v>
      </c>
      <c r="L60" s="18"/>
    </row>
    <row r="61" spans="1:12" s="3" customFormat="1" ht="26.25" customHeight="1">
      <c r="A61" s="30" t="s">
        <v>91</v>
      </c>
      <c r="B61" s="31">
        <v>50</v>
      </c>
      <c r="C61" s="345"/>
      <c r="D61" s="348"/>
      <c r="E61" s="88">
        <v>2</v>
      </c>
      <c r="F61" s="43">
        <v>22203768</v>
      </c>
      <c r="G61" s="89">
        <f>IF(ISBLANK(F61),"-",(F61/$D$50*$D$47*$B$68)*($B$57/$D$60))</f>
        <v>280.87798069310867</v>
      </c>
      <c r="H61" s="90">
        <f t="shared" si="0"/>
        <v>0.93625993564369558</v>
      </c>
      <c r="L61" s="18"/>
    </row>
    <row r="62" spans="1:12" s="3" customFormat="1" ht="26.25" customHeight="1">
      <c r="A62" s="30" t="s">
        <v>92</v>
      </c>
      <c r="B62" s="31">
        <v>1</v>
      </c>
      <c r="C62" s="345"/>
      <c r="D62" s="348"/>
      <c r="E62" s="88">
        <v>3</v>
      </c>
      <c r="F62" s="91">
        <v>21970520</v>
      </c>
      <c r="G62" s="89">
        <f>IF(ISBLANK(F62),"-",(F62/$D$50*$D$47*$B$68)*($B$57/$D$60))</f>
        <v>277.92739017889028</v>
      </c>
      <c r="H62" s="90">
        <f t="shared" si="0"/>
        <v>0.92642463392963426</v>
      </c>
      <c r="L62" s="18"/>
    </row>
    <row r="63" spans="1:12" ht="27" customHeight="1" thickBot="1">
      <c r="A63" s="30" t="s">
        <v>93</v>
      </c>
      <c r="B63" s="31">
        <v>1</v>
      </c>
      <c r="C63" s="346"/>
      <c r="D63" s="349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>
      <c r="A64" s="30" t="s">
        <v>94</v>
      </c>
      <c r="B64" s="31">
        <v>1</v>
      </c>
      <c r="C64" s="344" t="s">
        <v>95</v>
      </c>
      <c r="D64" s="347">
        <v>872.63</v>
      </c>
      <c r="E64" s="84">
        <v>1</v>
      </c>
      <c r="F64" s="85"/>
      <c r="G64" s="94" t="str">
        <f>IF(ISBLANK(F64),"-",(F64/$D$50*$D$47*$B$68)*($B$57/$D$64))</f>
        <v>-</v>
      </c>
      <c r="H64" s="95" t="str">
        <f t="shared" si="0"/>
        <v>-</v>
      </c>
    </row>
    <row r="65" spans="1:8" ht="26.25" customHeight="1">
      <c r="A65" s="30" t="s">
        <v>96</v>
      </c>
      <c r="B65" s="31">
        <v>1</v>
      </c>
      <c r="C65" s="345"/>
      <c r="D65" s="348"/>
      <c r="E65" s="88">
        <v>2</v>
      </c>
      <c r="F65" s="43"/>
      <c r="G65" s="96" t="str">
        <f>IF(ISBLANK(F65),"-",(F65/$D$50*$D$47*$B$68)*($B$57/$D$64))</f>
        <v>-</v>
      </c>
      <c r="H65" s="97" t="str">
        <f t="shared" si="0"/>
        <v>-</v>
      </c>
    </row>
    <row r="66" spans="1:8" ht="26.25" customHeight="1">
      <c r="A66" s="30" t="s">
        <v>97</v>
      </c>
      <c r="B66" s="31">
        <v>1</v>
      </c>
      <c r="C66" s="345"/>
      <c r="D66" s="348"/>
      <c r="E66" s="88">
        <v>3</v>
      </c>
      <c r="F66" s="43"/>
      <c r="G66" s="96" t="str">
        <f>IF(ISBLANK(F66),"-",(F66/$D$50*$D$47*$B$68)*($B$57/$D$64))</f>
        <v>-</v>
      </c>
      <c r="H66" s="97" t="str">
        <f t="shared" si="0"/>
        <v>-</v>
      </c>
    </row>
    <row r="67" spans="1:8" ht="27" customHeight="1" thickBot="1">
      <c r="A67" s="30" t="s">
        <v>98</v>
      </c>
      <c r="B67" s="31">
        <v>1</v>
      </c>
      <c r="C67" s="346"/>
      <c r="D67" s="349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>
      <c r="A68" s="30" t="s">
        <v>99</v>
      </c>
      <c r="B68" s="100">
        <f>(B67/B66)*(B65/B64)*(B63/B62)*(B61/B60)*B59</f>
        <v>2500</v>
      </c>
      <c r="C68" s="344" t="s">
        <v>100</v>
      </c>
      <c r="D68" s="347">
        <v>868.02</v>
      </c>
      <c r="E68" s="84">
        <v>1</v>
      </c>
      <c r="F68" s="85">
        <v>21805532</v>
      </c>
      <c r="G68" s="94">
        <f>IF(ISBLANK(F68),"-",(F68/$D$50*$D$47*$B$68)*($B$57/$D$68))</f>
        <v>278.98949964158038</v>
      </c>
      <c r="H68" s="90">
        <f t="shared" si="0"/>
        <v>0.92996499880526795</v>
      </c>
    </row>
    <row r="69" spans="1:8" ht="27" customHeight="1" thickBot="1">
      <c r="A69" s="75" t="s">
        <v>101</v>
      </c>
      <c r="B69" s="101">
        <f>(D47*B68)/B56*B57</f>
        <v>867.72049999999979</v>
      </c>
      <c r="C69" s="345"/>
      <c r="D69" s="348"/>
      <c r="E69" s="88">
        <v>2</v>
      </c>
      <c r="F69" s="43">
        <v>21564610</v>
      </c>
      <c r="G69" s="96">
        <f>IF(ISBLANK(F69),"-",(F69/$D$50*$D$47*$B$68)*($B$57/$D$68))</f>
        <v>275.90703835457083</v>
      </c>
      <c r="H69" s="90">
        <f t="shared" si="0"/>
        <v>0.91969012784856941</v>
      </c>
    </row>
    <row r="70" spans="1:8" ht="26.25" customHeight="1">
      <c r="A70" s="358" t="s">
        <v>74</v>
      </c>
      <c r="B70" s="359"/>
      <c r="C70" s="345"/>
      <c r="D70" s="348"/>
      <c r="E70" s="88">
        <v>3</v>
      </c>
      <c r="F70" s="43">
        <v>21371617</v>
      </c>
      <c r="G70" s="96">
        <f>IF(ISBLANK(F70),"-",(F70/$D$50*$D$47*$B$68)*($B$57/$D$68))</f>
        <v>273.43780162582107</v>
      </c>
      <c r="H70" s="90">
        <f t="shared" si="0"/>
        <v>0.91145933875273688</v>
      </c>
    </row>
    <row r="71" spans="1:8" ht="27" customHeight="1" thickBot="1">
      <c r="A71" s="360"/>
      <c r="B71" s="361"/>
      <c r="C71" s="350"/>
      <c r="D71" s="349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>
      <c r="A72" s="59"/>
      <c r="B72" s="59"/>
      <c r="C72" s="59"/>
      <c r="D72" s="59"/>
      <c r="E72" s="59"/>
      <c r="F72" s="103" t="s">
        <v>67</v>
      </c>
      <c r="G72" s="104">
        <f>AVERAGE(G60:G71)</f>
        <v>278.3820821070376</v>
      </c>
      <c r="H72" s="105">
        <f>AVERAGE(H60:H71)</f>
        <v>0.92794027369012522</v>
      </c>
    </row>
    <row r="73" spans="1:8" ht="26.25" customHeight="1">
      <c r="C73" s="59"/>
      <c r="D73" s="59"/>
      <c r="E73" s="59"/>
      <c r="F73" s="106" t="s">
        <v>80</v>
      </c>
      <c r="G73" s="107">
        <f>STDEV(G60:G71)/G72</f>
        <v>1.2457845468013946E-2</v>
      </c>
      <c r="H73" s="107">
        <f>STDEV(H60:H71)/H72</f>
        <v>1.2457845468013901E-2</v>
      </c>
    </row>
    <row r="74" spans="1:8" ht="27" customHeight="1" thickBot="1">
      <c r="A74" s="59"/>
      <c r="B74" s="59"/>
      <c r="C74" s="59"/>
      <c r="D74" s="59"/>
      <c r="E74" s="61"/>
      <c r="F74" s="108" t="s">
        <v>16</v>
      </c>
      <c r="G74" s="109">
        <f>COUNT(G60:G71)</f>
        <v>6</v>
      </c>
      <c r="H74" s="109">
        <f>COUNT(H60:H71)</f>
        <v>6</v>
      </c>
    </row>
    <row r="76" spans="1:8" ht="26.25" customHeight="1">
      <c r="A76" s="14" t="s">
        <v>102</v>
      </c>
      <c r="B76" s="15" t="s">
        <v>103</v>
      </c>
      <c r="C76" s="340" t="str">
        <f>B20</f>
        <v xml:space="preserve">Tenofovir Disoproxil Fumarate 300mg, Lamivudine 300mg &amp; Efavirenz 600mg </v>
      </c>
      <c r="D76" s="340"/>
      <c r="E76" s="5" t="s">
        <v>104</v>
      </c>
      <c r="F76" s="5"/>
      <c r="G76" s="110">
        <f>H72</f>
        <v>0.92794027369012522</v>
      </c>
      <c r="H76" s="19"/>
    </row>
    <row r="77" spans="1:8" ht="18.75">
      <c r="A77" s="13" t="s">
        <v>105</v>
      </c>
      <c r="B77" s="13" t="s">
        <v>106</v>
      </c>
    </row>
    <row r="78" spans="1:8" ht="18.75">
      <c r="A78" s="13"/>
      <c r="B78" s="13"/>
    </row>
    <row r="79" spans="1:8" ht="26.25" customHeight="1">
      <c r="A79" s="14" t="s">
        <v>4</v>
      </c>
      <c r="B79" s="351" t="str">
        <f>B26</f>
        <v>Tenofovir Disoproxil Fumurate</v>
      </c>
      <c r="C79" s="351"/>
    </row>
    <row r="80" spans="1:8" ht="26.25" customHeight="1">
      <c r="A80" s="15" t="s">
        <v>44</v>
      </c>
      <c r="B80" s="351" t="str">
        <f>B27</f>
        <v>T11-8</v>
      </c>
      <c r="C80" s="351"/>
    </row>
    <row r="81" spans="1:12" ht="27" customHeight="1" thickBot="1">
      <c r="A81" s="15" t="s">
        <v>5</v>
      </c>
      <c r="B81" s="16">
        <f>B28</f>
        <v>98.8</v>
      </c>
    </row>
    <row r="82" spans="1:12" s="3" customFormat="1" ht="27" customHeight="1" thickBot="1">
      <c r="A82" s="15" t="s">
        <v>45</v>
      </c>
      <c r="B82" s="17">
        <v>0</v>
      </c>
      <c r="C82" s="352" t="s">
        <v>46</v>
      </c>
      <c r="D82" s="353"/>
      <c r="E82" s="353"/>
      <c r="F82" s="353"/>
      <c r="G82" s="354"/>
      <c r="I82" s="18"/>
      <c r="J82" s="18"/>
      <c r="K82" s="18"/>
      <c r="L82" s="18"/>
    </row>
    <row r="83" spans="1:12" s="3" customFormat="1" ht="19.5" customHeight="1" thickBot="1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>
      <c r="A84" s="15" t="s">
        <v>48</v>
      </c>
      <c r="B84" s="22">
        <v>1</v>
      </c>
      <c r="C84" s="355" t="s">
        <v>107</v>
      </c>
      <c r="D84" s="356"/>
      <c r="E84" s="356"/>
      <c r="F84" s="356"/>
      <c r="G84" s="356"/>
      <c r="H84" s="357"/>
      <c r="I84" s="18"/>
      <c r="J84" s="18"/>
      <c r="K84" s="18"/>
      <c r="L84" s="18"/>
    </row>
    <row r="85" spans="1:12" s="3" customFormat="1" ht="27" customHeight="1" thickBot="1">
      <c r="A85" s="15" t="s">
        <v>50</v>
      </c>
      <c r="B85" s="22">
        <v>1</v>
      </c>
      <c r="C85" s="355" t="s">
        <v>108</v>
      </c>
      <c r="D85" s="356"/>
      <c r="E85" s="356"/>
      <c r="F85" s="356"/>
      <c r="G85" s="356"/>
      <c r="H85" s="357"/>
      <c r="I85" s="18"/>
      <c r="J85" s="18"/>
      <c r="K85" s="18"/>
      <c r="L85" s="18"/>
    </row>
    <row r="86" spans="1:12" s="3" customFormat="1" ht="18.75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>
      <c r="A88" s="13"/>
      <c r="B88" s="13"/>
    </row>
    <row r="89" spans="1:12" ht="27" customHeight="1" thickBot="1">
      <c r="A89" s="28" t="s">
        <v>54</v>
      </c>
      <c r="B89" s="29">
        <v>50</v>
      </c>
      <c r="D89" s="111" t="s">
        <v>55</v>
      </c>
      <c r="E89" s="112"/>
      <c r="F89" s="342" t="s">
        <v>56</v>
      </c>
      <c r="G89" s="343"/>
    </row>
    <row r="90" spans="1:12" ht="27" customHeight="1" thickBot="1">
      <c r="A90" s="30" t="s">
        <v>57</v>
      </c>
      <c r="B90" s="31">
        <v>1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>
      <c r="A91" s="30" t="s">
        <v>62</v>
      </c>
      <c r="B91" s="31">
        <v>1</v>
      </c>
      <c r="C91" s="115">
        <v>1</v>
      </c>
      <c r="D91" s="38">
        <v>69923567</v>
      </c>
      <c r="E91" s="39">
        <f>IF(ISBLANK(D91),"-",$D$101/$D$98*D91)</f>
        <v>73875617.007429451</v>
      </c>
      <c r="F91" s="38">
        <v>74974527</v>
      </c>
      <c r="G91" s="40">
        <f>IF(ISBLANK(F91),"-",$D$101/$F$98*F91)</f>
        <v>74788254.387738273</v>
      </c>
      <c r="I91" s="41"/>
    </row>
    <row r="92" spans="1:12" ht="26.25" customHeight="1">
      <c r="A92" s="30" t="s">
        <v>63</v>
      </c>
      <c r="B92" s="31">
        <v>1</v>
      </c>
      <c r="C92" s="59">
        <v>2</v>
      </c>
      <c r="D92" s="43">
        <v>70256073</v>
      </c>
      <c r="E92" s="44">
        <f>IF(ISBLANK(D92),"-",$D$101/$D$98*D92)</f>
        <v>74226916.103893906</v>
      </c>
      <c r="F92" s="43">
        <v>75086769</v>
      </c>
      <c r="G92" s="45">
        <f>IF(ISBLANK(F92),"-",$D$101/$F$98*F92)</f>
        <v>74900217.524884686</v>
      </c>
      <c r="I92" s="333">
        <f>ABS((F96/D96*D95)-F95)/D95</f>
        <v>1.1931851301565875E-2</v>
      </c>
    </row>
    <row r="93" spans="1:12" ht="26.25" customHeight="1">
      <c r="A93" s="30" t="s">
        <v>64</v>
      </c>
      <c r="B93" s="31">
        <v>1</v>
      </c>
      <c r="C93" s="59">
        <v>3</v>
      </c>
      <c r="D93" s="43">
        <v>69904126</v>
      </c>
      <c r="E93" s="44">
        <f>IF(ISBLANK(D93),"-",$D$101/$D$98*D93)</f>
        <v>73855077.210450247</v>
      </c>
      <c r="F93" s="43">
        <v>74955825</v>
      </c>
      <c r="G93" s="45">
        <f>IF(ISBLANK(F93),"-",$D$101/$F$98*F93)</f>
        <v>74769598.852458134</v>
      </c>
      <c r="I93" s="333"/>
    </row>
    <row r="94" spans="1:12" ht="27" customHeight="1" thickBot="1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>
      <c r="A95" s="30" t="s">
        <v>66</v>
      </c>
      <c r="B95" s="31">
        <v>1</v>
      </c>
      <c r="C95" s="15" t="s">
        <v>67</v>
      </c>
      <c r="D95" s="118">
        <f>AVERAGE(D91:D94)</f>
        <v>70027922</v>
      </c>
      <c r="E95" s="53">
        <f>AVERAGE(E91:E94)</f>
        <v>73985870.107257858</v>
      </c>
      <c r="F95" s="119">
        <f>AVERAGE(F91:F94)</f>
        <v>75005707</v>
      </c>
      <c r="G95" s="120">
        <f>AVERAGE(G91:G94)</f>
        <v>74819356.921693698</v>
      </c>
    </row>
    <row r="96" spans="1:12" ht="26.25" customHeight="1">
      <c r="A96" s="30" t="s">
        <v>68</v>
      </c>
      <c r="B96" s="16">
        <v>1</v>
      </c>
      <c r="C96" s="121" t="s">
        <v>109</v>
      </c>
      <c r="D96" s="122">
        <v>14.37</v>
      </c>
      <c r="E96" s="5"/>
      <c r="F96" s="56">
        <v>15.22</v>
      </c>
    </row>
    <row r="97" spans="1:10" ht="26.25" customHeight="1">
      <c r="A97" s="30" t="s">
        <v>70</v>
      </c>
      <c r="B97" s="16">
        <v>1</v>
      </c>
      <c r="C97" s="123" t="s">
        <v>110</v>
      </c>
      <c r="D97" s="124">
        <f>D96*$B$87</f>
        <v>14.37</v>
      </c>
      <c r="E97" s="59"/>
      <c r="F97" s="58">
        <f>F96*$B$87</f>
        <v>15.22</v>
      </c>
    </row>
    <row r="98" spans="1:10" ht="19.5" customHeight="1" thickBot="1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14.197559999999999</v>
      </c>
      <c r="E98" s="61"/>
      <c r="F98" s="60">
        <f>F97*$B$83/100</f>
        <v>15.037360000000001</v>
      </c>
    </row>
    <row r="99" spans="1:10" ht="19.5" customHeight="1" thickBot="1">
      <c r="A99" s="334" t="s">
        <v>74</v>
      </c>
      <c r="B99" s="335"/>
      <c r="C99" s="123" t="s">
        <v>112</v>
      </c>
      <c r="D99" s="126">
        <f>D98/$B$98</f>
        <v>0.28395119999999996</v>
      </c>
      <c r="E99" s="61"/>
      <c r="F99" s="64">
        <f>F98/$B$98</f>
        <v>0.30074720000000005</v>
      </c>
      <c r="H99" s="4"/>
    </row>
    <row r="100" spans="1:10" ht="19.5" customHeight="1" thickBot="1">
      <c r="A100" s="336"/>
      <c r="B100" s="337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>
      <c r="C102" s="129" t="s">
        <v>78</v>
      </c>
      <c r="D102" s="130">
        <f>D101/B34</f>
        <v>15</v>
      </c>
      <c r="F102" s="73"/>
      <c r="H102" s="4"/>
      <c r="J102" s="131"/>
    </row>
    <row r="103" spans="1:10" ht="18.75">
      <c r="C103" s="132" t="s">
        <v>113</v>
      </c>
      <c r="D103" s="133">
        <f>AVERAGE(E91:E94,G91:G94)</f>
        <v>74402613.514475778</v>
      </c>
      <c r="F103" s="73"/>
      <c r="G103" s="128"/>
      <c r="H103" s="4"/>
      <c r="J103" s="134"/>
    </row>
    <row r="104" spans="1:10" ht="18.75">
      <c r="C104" s="106" t="s">
        <v>80</v>
      </c>
      <c r="D104" s="135">
        <f>STDEV(E91:E94,G91:G94)/D103</f>
        <v>6.4160019946741956E-3</v>
      </c>
      <c r="F104" s="73"/>
      <c r="H104" s="4"/>
      <c r="J104" s="134"/>
    </row>
    <row r="105" spans="1:10" ht="19.5" customHeight="1" thickBot="1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>
      <c r="A106" s="77"/>
      <c r="B106" s="77"/>
      <c r="C106" s="77"/>
      <c r="D106" s="77"/>
      <c r="E106" s="77"/>
    </row>
    <row r="107" spans="1:10" ht="26.25" customHeight="1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>
      <c r="A108" s="30" t="s">
        <v>118</v>
      </c>
      <c r="B108" s="31">
        <v>1</v>
      </c>
      <c r="C108" s="140">
        <v>1</v>
      </c>
      <c r="D108" s="141">
        <v>70987202</v>
      </c>
      <c r="E108" s="142">
        <f t="shared" ref="E108:E113" si="1">IF(ISBLANK(D108),"-",D108/$D$103*$D$100*$B$116)</f>
        <v>286.22866313502038</v>
      </c>
      <c r="F108" s="143">
        <f t="shared" ref="F108:F113" si="2">IF(ISBLANK(D108), "-", E108/$B$56)</f>
        <v>0.95409554378340122</v>
      </c>
    </row>
    <row r="109" spans="1:10" ht="26.25" customHeight="1">
      <c r="A109" s="30" t="s">
        <v>91</v>
      </c>
      <c r="B109" s="31">
        <v>1</v>
      </c>
      <c r="C109" s="140">
        <v>2</v>
      </c>
      <c r="D109" s="141">
        <v>70917826</v>
      </c>
      <c r="E109" s="144">
        <f t="shared" si="1"/>
        <v>285.94893102593323</v>
      </c>
      <c r="F109" s="145">
        <f t="shared" si="2"/>
        <v>0.9531631034197775</v>
      </c>
    </row>
    <row r="110" spans="1:10" ht="26.25" customHeight="1">
      <c r="A110" s="30" t="s">
        <v>92</v>
      </c>
      <c r="B110" s="31">
        <v>1</v>
      </c>
      <c r="C110" s="140">
        <v>3</v>
      </c>
      <c r="D110" s="141">
        <v>72280576</v>
      </c>
      <c r="E110" s="144">
        <f t="shared" si="1"/>
        <v>291.4436976838337</v>
      </c>
      <c r="F110" s="145">
        <f t="shared" si="2"/>
        <v>0.97147899227944567</v>
      </c>
    </row>
    <row r="111" spans="1:10" ht="26.25" customHeight="1">
      <c r="A111" s="30" t="s">
        <v>93</v>
      </c>
      <c r="B111" s="31">
        <v>1</v>
      </c>
      <c r="C111" s="140">
        <v>4</v>
      </c>
      <c r="D111" s="141">
        <v>72355954</v>
      </c>
      <c r="E111" s="144">
        <f t="shared" si="1"/>
        <v>291.74763055570253</v>
      </c>
      <c r="F111" s="145">
        <f t="shared" si="2"/>
        <v>0.97249210185234181</v>
      </c>
    </row>
    <row r="112" spans="1:10" ht="26.25" customHeight="1">
      <c r="A112" s="30" t="s">
        <v>94</v>
      </c>
      <c r="B112" s="31">
        <v>1</v>
      </c>
      <c r="C112" s="140">
        <v>5</v>
      </c>
      <c r="D112" s="141">
        <v>70771178</v>
      </c>
      <c r="E112" s="144">
        <f t="shared" si="1"/>
        <v>285.35762921646864</v>
      </c>
      <c r="F112" s="145">
        <f t="shared" si="2"/>
        <v>0.95119209738822874</v>
      </c>
    </row>
    <row r="113" spans="1:10" ht="26.25" customHeight="1">
      <c r="A113" s="30" t="s">
        <v>96</v>
      </c>
      <c r="B113" s="31">
        <v>1</v>
      </c>
      <c r="C113" s="146">
        <v>6</v>
      </c>
      <c r="D113" s="147">
        <v>71258689</v>
      </c>
      <c r="E113" s="148">
        <f t="shared" si="1"/>
        <v>287.3233303268409</v>
      </c>
      <c r="F113" s="149">
        <f t="shared" si="2"/>
        <v>0.95774443442280299</v>
      </c>
    </row>
    <row r="114" spans="1:10" ht="26.25" customHeight="1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288.00831365729988</v>
      </c>
      <c r="F115" s="153">
        <f>AVERAGE(F108:F113)</f>
        <v>0.96002771219099969</v>
      </c>
    </row>
    <row r="116" spans="1:10" ht="27" customHeight="1" thickBot="1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9.9047289800047681E-3</v>
      </c>
      <c r="F116" s="155">
        <f>STDEV(F108:F113)/F115</f>
        <v>9.9047289800052434E-3</v>
      </c>
      <c r="I116" s="5"/>
    </row>
    <row r="117" spans="1:10" ht="27" customHeight="1" thickBot="1">
      <c r="A117" s="334" t="s">
        <v>74</v>
      </c>
      <c r="B117" s="338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>
      <c r="A118" s="336"/>
      <c r="B118" s="339"/>
      <c r="C118" s="5"/>
      <c r="D118" s="5"/>
      <c r="E118" s="5"/>
      <c r="F118" s="59"/>
      <c r="G118" s="5"/>
      <c r="H118" s="5"/>
      <c r="I118" s="5"/>
    </row>
    <row r="119" spans="1:10" ht="18.75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>
      <c r="A120" s="14" t="s">
        <v>102</v>
      </c>
      <c r="B120" s="15" t="s">
        <v>119</v>
      </c>
      <c r="C120" s="340" t="str">
        <f>B20</f>
        <v xml:space="preserve">Tenofovir Disoproxil Fumarate 300mg, Lamivudine 300mg &amp; Efavirenz 600mg </v>
      </c>
      <c r="D120" s="340"/>
      <c r="E120" s="5" t="s">
        <v>120</v>
      </c>
      <c r="F120" s="5"/>
      <c r="G120" s="110">
        <f>F115</f>
        <v>0.96002771219099969</v>
      </c>
      <c r="H120" s="5"/>
      <c r="I120" s="5"/>
    </row>
    <row r="121" spans="1:10" ht="19.5" customHeight="1" thickBot="1">
      <c r="A121" s="160"/>
      <c r="B121" s="160"/>
      <c r="C121" s="161"/>
      <c r="D121" s="161"/>
      <c r="E121" s="161"/>
      <c r="F121" s="161"/>
      <c r="G121" s="161"/>
      <c r="H121" s="161"/>
    </row>
    <row r="122" spans="1:10" ht="18.75">
      <c r="B122" s="341" t="s">
        <v>22</v>
      </c>
      <c r="C122" s="341"/>
      <c r="E122" s="113" t="s">
        <v>23</v>
      </c>
      <c r="F122" s="162"/>
      <c r="G122" s="341" t="s">
        <v>24</v>
      </c>
      <c r="H122" s="341"/>
    </row>
    <row r="123" spans="1:10" ht="69.95" customHeight="1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>
      <c r="A250" s="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I49"/>
  <sheetViews>
    <sheetView tabSelected="1" view="pageBreakPreview" topLeftCell="A2" zoomScale="60" workbookViewId="0">
      <selection activeCell="B5" sqref="B5"/>
    </sheetView>
  </sheetViews>
  <sheetFormatPr defaultRowHeight="13.5"/>
  <cols>
    <col min="1" max="1" width="27.5703125" style="511" customWidth="1"/>
    <col min="2" max="2" width="20.42578125" style="511" customWidth="1"/>
    <col min="3" max="3" width="31.85546875" style="511" customWidth="1"/>
    <col min="4" max="4" width="25.85546875" style="511" customWidth="1"/>
    <col min="5" max="5" width="25.7109375" style="511" customWidth="1"/>
    <col min="6" max="6" width="23.140625" style="511" customWidth="1"/>
    <col min="7" max="7" width="28.42578125" style="511" customWidth="1"/>
    <col min="8" max="8" width="21.5703125" style="511" customWidth="1"/>
    <col min="9" max="9" width="9.140625" style="511" customWidth="1"/>
    <col min="10" max="16384" width="9.140625" style="547"/>
  </cols>
  <sheetData>
    <row r="3" spans="1:5" ht="18.75" customHeight="1">
      <c r="A3" s="510" t="s">
        <v>0</v>
      </c>
      <c r="B3" s="510"/>
      <c r="C3" s="510"/>
      <c r="D3" s="510"/>
      <c r="E3" s="510"/>
    </row>
    <row r="4" spans="1:5" ht="16.5" customHeight="1">
      <c r="A4" s="512" t="s">
        <v>1</v>
      </c>
      <c r="B4" s="513" t="s">
        <v>2</v>
      </c>
    </row>
    <row r="5" spans="1:5" ht="16.5" customHeight="1">
      <c r="A5" s="514" t="s">
        <v>3</v>
      </c>
      <c r="B5" s="514" t="s">
        <v>121</v>
      </c>
      <c r="D5" s="515"/>
      <c r="E5" s="516"/>
    </row>
    <row r="6" spans="1:5" ht="16.5" customHeight="1">
      <c r="A6" s="517" t="s">
        <v>4</v>
      </c>
      <c r="B6" s="518" t="s">
        <v>125</v>
      </c>
      <c r="C6" s="516"/>
      <c r="D6" s="516"/>
      <c r="E6" s="516"/>
    </row>
    <row r="7" spans="1:5" ht="16.5" customHeight="1">
      <c r="A7" s="517" t="s">
        <v>5</v>
      </c>
      <c r="B7" s="515">
        <v>100</v>
      </c>
      <c r="C7" s="516"/>
      <c r="D7" s="516"/>
      <c r="E7" s="516"/>
    </row>
    <row r="8" spans="1:5" ht="16.5" customHeight="1">
      <c r="A8" s="514" t="s">
        <v>6</v>
      </c>
      <c r="B8" s="518">
        <f>Lamivudine!D43</f>
        <v>14.53</v>
      </c>
      <c r="C8" s="516"/>
      <c r="D8" s="516"/>
      <c r="E8" s="516"/>
    </row>
    <row r="9" spans="1:5" ht="16.5" customHeight="1">
      <c r="A9" s="514" t="s">
        <v>7</v>
      </c>
      <c r="B9" s="519">
        <f>B8/50*10/25</f>
        <v>0.11623999999999998</v>
      </c>
      <c r="C9" s="516"/>
      <c r="D9" s="516"/>
      <c r="E9" s="516"/>
    </row>
    <row r="10" spans="1:5" ht="15.75" customHeight="1">
      <c r="A10" s="516"/>
      <c r="B10" s="520"/>
      <c r="C10" s="516"/>
      <c r="D10" s="516"/>
      <c r="E10" s="516"/>
    </row>
    <row r="11" spans="1:5" ht="16.5" customHeight="1">
      <c r="A11" s="521" t="s">
        <v>9</v>
      </c>
      <c r="B11" s="522" t="s">
        <v>10</v>
      </c>
      <c r="C11" s="521" t="s">
        <v>11</v>
      </c>
      <c r="D11" s="521" t="s">
        <v>12</v>
      </c>
      <c r="E11" s="521" t="s">
        <v>13</v>
      </c>
    </row>
    <row r="12" spans="1:5" ht="16.5" customHeight="1">
      <c r="A12" s="523">
        <v>1</v>
      </c>
      <c r="B12" s="524">
        <v>42614632</v>
      </c>
      <c r="C12" s="524">
        <v>5951.6</v>
      </c>
      <c r="D12" s="525">
        <v>1.18</v>
      </c>
      <c r="E12" s="526">
        <v>4.67</v>
      </c>
    </row>
    <row r="13" spans="1:5" ht="16.5" customHeight="1">
      <c r="A13" s="523">
        <v>2</v>
      </c>
      <c r="B13" s="524">
        <v>42534256</v>
      </c>
      <c r="C13" s="524">
        <v>5874.7</v>
      </c>
      <c r="D13" s="525">
        <v>1.2</v>
      </c>
      <c r="E13" s="525">
        <v>4.66</v>
      </c>
    </row>
    <row r="14" spans="1:5" ht="16.5" customHeight="1">
      <c r="A14" s="523">
        <v>3</v>
      </c>
      <c r="B14" s="524">
        <v>42666373</v>
      </c>
      <c r="C14" s="524">
        <v>5877.1</v>
      </c>
      <c r="D14" s="525">
        <v>1.21</v>
      </c>
      <c r="E14" s="525">
        <v>4.66</v>
      </c>
    </row>
    <row r="15" spans="1:5" ht="16.5" customHeight="1">
      <c r="A15" s="523">
        <v>4</v>
      </c>
      <c r="B15" s="524">
        <v>42244303</v>
      </c>
      <c r="C15" s="524">
        <v>5875</v>
      </c>
      <c r="D15" s="525">
        <v>1.21</v>
      </c>
      <c r="E15" s="525">
        <v>4.6500000000000004</v>
      </c>
    </row>
    <row r="16" spans="1:5" ht="16.5" customHeight="1">
      <c r="A16" s="523">
        <v>5</v>
      </c>
      <c r="B16" s="524">
        <v>42077838</v>
      </c>
      <c r="C16" s="524">
        <v>5904</v>
      </c>
      <c r="D16" s="525">
        <v>1.21</v>
      </c>
      <c r="E16" s="525">
        <v>4.6500000000000004</v>
      </c>
    </row>
    <row r="17" spans="1:5" ht="16.5" customHeight="1">
      <c r="A17" s="523">
        <v>6</v>
      </c>
      <c r="B17" s="527">
        <v>42165522</v>
      </c>
      <c r="C17" s="527">
        <v>5900.9</v>
      </c>
      <c r="D17" s="528">
        <v>1.2</v>
      </c>
      <c r="E17" s="528">
        <v>4.66</v>
      </c>
    </row>
    <row r="18" spans="1:5" ht="16.5" customHeight="1">
      <c r="A18" s="529" t="s">
        <v>14</v>
      </c>
      <c r="B18" s="530">
        <f>AVERAGE(B12:B17)</f>
        <v>42383820.666666664</v>
      </c>
      <c r="C18" s="531">
        <f>AVERAGE(C12:C17)</f>
        <v>5897.2166666666672</v>
      </c>
      <c r="D18" s="532">
        <f>AVERAGE(D12:D17)</f>
        <v>1.2016666666666667</v>
      </c>
      <c r="E18" s="532">
        <f>AVERAGE(E12:E17)</f>
        <v>4.6583333333333332</v>
      </c>
    </row>
    <row r="19" spans="1:5" ht="16.5" customHeight="1">
      <c r="A19" s="533" t="s">
        <v>15</v>
      </c>
      <c r="B19" s="534">
        <f>(STDEV(B12:B17)/B18)</f>
        <v>5.9359701477445098E-3</v>
      </c>
      <c r="C19" s="535"/>
      <c r="D19" s="535"/>
      <c r="E19" s="536"/>
    </row>
    <row r="20" spans="1:5" s="511" customFormat="1" ht="16.5" customHeight="1">
      <c r="A20" s="537" t="s">
        <v>16</v>
      </c>
      <c r="B20" s="538">
        <f>COUNT(B12:B17)</f>
        <v>6</v>
      </c>
      <c r="C20" s="539"/>
      <c r="D20" s="540"/>
      <c r="E20" s="541"/>
    </row>
    <row r="21" spans="1:5" s="511" customFormat="1" ht="15.75" customHeight="1">
      <c r="A21" s="516"/>
      <c r="B21" s="516"/>
      <c r="C21" s="516"/>
      <c r="D21" s="516"/>
      <c r="E21" s="516"/>
    </row>
    <row r="22" spans="1:5" s="511" customFormat="1" ht="16.5" customHeight="1">
      <c r="A22" s="517" t="s">
        <v>17</v>
      </c>
      <c r="B22" s="542" t="s">
        <v>18</v>
      </c>
      <c r="C22" s="543"/>
      <c r="D22" s="543"/>
      <c r="E22" s="543"/>
    </row>
    <row r="23" spans="1:5" ht="16.5" customHeight="1">
      <c r="A23" s="517"/>
      <c r="B23" s="542" t="s">
        <v>19</v>
      </c>
      <c r="C23" s="543"/>
      <c r="D23" s="543"/>
      <c r="E23" s="543"/>
    </row>
    <row r="24" spans="1:5" ht="16.5" customHeight="1">
      <c r="A24" s="517"/>
      <c r="B24" s="542" t="s">
        <v>20</v>
      </c>
      <c r="C24" s="543"/>
      <c r="D24" s="543"/>
      <c r="E24" s="543"/>
    </row>
    <row r="25" spans="1:5" ht="15.75" customHeight="1">
      <c r="A25" s="516"/>
      <c r="B25" s="516"/>
      <c r="C25" s="516"/>
      <c r="D25" s="516"/>
      <c r="E25" s="516"/>
    </row>
    <row r="26" spans="1:5" ht="16.5" customHeight="1">
      <c r="A26" s="512" t="s">
        <v>1</v>
      </c>
      <c r="B26" s="513" t="s">
        <v>21</v>
      </c>
    </row>
    <row r="27" spans="1:5" ht="16.5" customHeight="1">
      <c r="A27" s="517" t="s">
        <v>4</v>
      </c>
      <c r="B27" s="514" t="s">
        <v>125</v>
      </c>
      <c r="C27" s="516"/>
      <c r="D27" s="516"/>
      <c r="E27" s="516"/>
    </row>
    <row r="28" spans="1:5" ht="16.5" customHeight="1">
      <c r="A28" s="517" t="s">
        <v>5</v>
      </c>
      <c r="B28" s="518">
        <v>100</v>
      </c>
      <c r="C28" s="516"/>
      <c r="D28" s="516"/>
      <c r="E28" s="516"/>
    </row>
    <row r="29" spans="1:5" ht="16.5" customHeight="1">
      <c r="A29" s="514" t="s">
        <v>6</v>
      </c>
      <c r="B29" s="518">
        <f>Lamivudine!D96</f>
        <v>14.64</v>
      </c>
      <c r="C29" s="516"/>
      <c r="D29" s="516"/>
      <c r="E29" s="516"/>
    </row>
    <row r="30" spans="1:5" ht="16.5" customHeight="1">
      <c r="A30" s="514" t="s">
        <v>7</v>
      </c>
      <c r="B30" s="519">
        <f>B29/50</f>
        <v>0.2928</v>
      </c>
      <c r="C30" s="516"/>
      <c r="D30" s="516"/>
      <c r="E30" s="516"/>
    </row>
    <row r="31" spans="1:5" ht="15.75" customHeight="1">
      <c r="A31" s="516"/>
      <c r="B31" s="516"/>
      <c r="C31" s="516"/>
      <c r="D31" s="516"/>
      <c r="E31" s="516"/>
    </row>
    <row r="32" spans="1:5" ht="16.5" customHeight="1">
      <c r="A32" s="521" t="s">
        <v>9</v>
      </c>
      <c r="B32" s="522" t="s">
        <v>10</v>
      </c>
      <c r="C32" s="521" t="s">
        <v>11</v>
      </c>
      <c r="D32" s="521" t="s">
        <v>12</v>
      </c>
      <c r="E32" s="521" t="s">
        <v>13</v>
      </c>
    </row>
    <row r="33" spans="1:7" ht="16.5" customHeight="1">
      <c r="A33" s="523">
        <v>1</v>
      </c>
      <c r="B33" s="524">
        <v>103423348</v>
      </c>
      <c r="C33" s="524">
        <v>64827.3</v>
      </c>
      <c r="D33" s="525">
        <v>1.1000000000000001</v>
      </c>
      <c r="E33" s="526">
        <v>8.7799999999999994</v>
      </c>
    </row>
    <row r="34" spans="1:7" ht="16.5" customHeight="1">
      <c r="A34" s="523">
        <v>2</v>
      </c>
      <c r="B34" s="524">
        <v>103333666</v>
      </c>
      <c r="C34" s="524">
        <v>64987.3</v>
      </c>
      <c r="D34" s="525">
        <v>1.1000000000000001</v>
      </c>
      <c r="E34" s="525">
        <v>8.7799999999999994</v>
      </c>
    </row>
    <row r="35" spans="1:7" ht="16.5" customHeight="1">
      <c r="A35" s="523">
        <v>3</v>
      </c>
      <c r="B35" s="524">
        <v>103249741</v>
      </c>
      <c r="C35" s="524">
        <v>64712.7</v>
      </c>
      <c r="D35" s="525">
        <v>1.2</v>
      </c>
      <c r="E35" s="525">
        <v>8.77</v>
      </c>
    </row>
    <row r="36" spans="1:7" ht="16.5" customHeight="1">
      <c r="A36" s="523">
        <v>4</v>
      </c>
      <c r="B36" s="524">
        <v>103622652</v>
      </c>
      <c r="C36" s="524">
        <v>63861.4</v>
      </c>
      <c r="D36" s="525">
        <v>1.1000000000000001</v>
      </c>
      <c r="E36" s="525">
        <v>8.77</v>
      </c>
    </row>
    <row r="37" spans="1:7" ht="16.5" customHeight="1">
      <c r="A37" s="523">
        <v>5</v>
      </c>
      <c r="B37" s="524">
        <v>103818340</v>
      </c>
      <c r="C37" s="524">
        <v>62704.5</v>
      </c>
      <c r="D37" s="525">
        <v>1.2</v>
      </c>
      <c r="E37" s="525">
        <v>8.7799999999999994</v>
      </c>
    </row>
    <row r="38" spans="1:7" ht="16.5" customHeight="1">
      <c r="A38" s="523">
        <v>6</v>
      </c>
      <c r="B38" s="527">
        <v>103939874</v>
      </c>
      <c r="C38" s="527">
        <v>64245.3</v>
      </c>
      <c r="D38" s="528">
        <v>1.1000000000000001</v>
      </c>
      <c r="E38" s="528">
        <v>8.7799999999999994</v>
      </c>
    </row>
    <row r="39" spans="1:7" ht="16.5" customHeight="1">
      <c r="A39" s="529" t="s">
        <v>14</v>
      </c>
      <c r="B39" s="530">
        <f>AVERAGE(B33:B38)</f>
        <v>103564603.5</v>
      </c>
      <c r="C39" s="531">
        <f>AVERAGE(C33:C38)</f>
        <v>64223.083333333321</v>
      </c>
      <c r="D39" s="532">
        <f>AVERAGE(D33:D38)</f>
        <v>1.1333333333333335</v>
      </c>
      <c r="E39" s="532">
        <f>AVERAGE(E33:E38)</f>
        <v>8.7766666666666655</v>
      </c>
    </row>
    <row r="40" spans="1:7" ht="16.5" customHeight="1">
      <c r="A40" s="533" t="s">
        <v>15</v>
      </c>
      <c r="B40" s="534">
        <f>(STDEV(B33:B38)/B39)</f>
        <v>2.6654349748227953E-3</v>
      </c>
      <c r="C40" s="535"/>
      <c r="D40" s="535"/>
      <c r="E40" s="536"/>
    </row>
    <row r="41" spans="1:7" s="511" customFormat="1" ht="16.5" customHeight="1">
      <c r="A41" s="537" t="s">
        <v>16</v>
      </c>
      <c r="B41" s="538">
        <f>COUNT(B33:B38)</f>
        <v>6</v>
      </c>
      <c r="C41" s="539"/>
      <c r="D41" s="540"/>
      <c r="E41" s="541"/>
    </row>
    <row r="42" spans="1:7" s="511" customFormat="1" ht="15.75" customHeight="1">
      <c r="A42" s="516"/>
      <c r="B42" s="516"/>
      <c r="C42" s="516"/>
      <c r="D42" s="516"/>
      <c r="E42" s="516"/>
    </row>
    <row r="43" spans="1:7" s="511" customFormat="1" ht="16.5" customHeight="1">
      <c r="A43" s="517" t="s">
        <v>17</v>
      </c>
      <c r="B43" s="542" t="s">
        <v>18</v>
      </c>
      <c r="C43" s="543"/>
      <c r="D43" s="543"/>
      <c r="E43" s="543"/>
    </row>
    <row r="44" spans="1:7" ht="16.5" customHeight="1">
      <c r="A44" s="517"/>
      <c r="B44" s="542" t="s">
        <v>19</v>
      </c>
      <c r="C44" s="543"/>
      <c r="D44" s="543"/>
      <c r="E44" s="543"/>
    </row>
    <row r="45" spans="1:7" ht="16.5" customHeight="1">
      <c r="A45" s="517"/>
      <c r="B45" s="542" t="s">
        <v>20</v>
      </c>
      <c r="C45" s="543"/>
      <c r="D45" s="543"/>
      <c r="E45" s="543"/>
    </row>
    <row r="46" spans="1:7" ht="14.25" customHeight="1" thickBot="1">
      <c r="A46" s="544"/>
      <c r="B46" s="545"/>
      <c r="D46" s="546"/>
      <c r="F46" s="547"/>
      <c r="G46" s="547"/>
    </row>
    <row r="47" spans="1:7" ht="15" customHeight="1">
      <c r="B47" s="548" t="s">
        <v>22</v>
      </c>
      <c r="C47" s="548"/>
      <c r="E47" s="549" t="s">
        <v>23</v>
      </c>
      <c r="F47" s="550"/>
      <c r="G47" s="549" t="s">
        <v>24</v>
      </c>
    </row>
    <row r="48" spans="1:7" ht="15" customHeight="1">
      <c r="A48" s="551" t="s">
        <v>25</v>
      </c>
      <c r="B48" s="552"/>
      <c r="C48" s="552"/>
      <c r="E48" s="552"/>
      <c r="G48" s="552"/>
    </row>
    <row r="49" spans="1:7" ht="15" customHeight="1">
      <c r="A49" s="551" t="s">
        <v>26</v>
      </c>
      <c r="B49" s="553"/>
      <c r="C49" s="553"/>
      <c r="E49" s="553"/>
      <c r="G49" s="554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1" zoomScale="50" zoomScaleNormal="60" zoomScaleSheetLayoutView="50" zoomScalePageLayoutView="41" workbookViewId="0">
      <selection activeCell="J29" sqref="J29:L30"/>
    </sheetView>
  </sheetViews>
  <sheetFormatPr defaultColWidth="9.140625" defaultRowHeight="13.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>
      <c r="A1" s="402" t="s">
        <v>41</v>
      </c>
      <c r="B1" s="402"/>
      <c r="C1" s="402"/>
      <c r="D1" s="402"/>
      <c r="E1" s="402"/>
      <c r="F1" s="402"/>
      <c r="G1" s="402"/>
      <c r="H1" s="402"/>
      <c r="I1" s="402"/>
    </row>
    <row r="2" spans="1:9" ht="18.75" customHeight="1">
      <c r="A2" s="402"/>
      <c r="B2" s="402"/>
      <c r="C2" s="402"/>
      <c r="D2" s="402"/>
      <c r="E2" s="402"/>
      <c r="F2" s="402"/>
      <c r="G2" s="402"/>
      <c r="H2" s="402"/>
      <c r="I2" s="402"/>
    </row>
    <row r="3" spans="1:9" ht="18.75" customHeight="1">
      <c r="A3" s="402"/>
      <c r="B3" s="402"/>
      <c r="C3" s="402"/>
      <c r="D3" s="402"/>
      <c r="E3" s="402"/>
      <c r="F3" s="402"/>
      <c r="G3" s="402"/>
      <c r="H3" s="402"/>
      <c r="I3" s="402"/>
    </row>
    <row r="4" spans="1:9" ht="18.75" customHeight="1">
      <c r="A4" s="402"/>
      <c r="B4" s="402"/>
      <c r="C4" s="402"/>
      <c r="D4" s="402"/>
      <c r="E4" s="402"/>
      <c r="F4" s="402"/>
      <c r="G4" s="402"/>
      <c r="H4" s="402"/>
      <c r="I4" s="402"/>
    </row>
    <row r="5" spans="1:9" ht="18.75" customHeight="1">
      <c r="A5" s="402"/>
      <c r="B5" s="402"/>
      <c r="C5" s="402"/>
      <c r="D5" s="402"/>
      <c r="E5" s="402"/>
      <c r="F5" s="402"/>
      <c r="G5" s="402"/>
      <c r="H5" s="402"/>
      <c r="I5" s="402"/>
    </row>
    <row r="6" spans="1:9" ht="18.75" customHeight="1">
      <c r="A6" s="402"/>
      <c r="B6" s="402"/>
      <c r="C6" s="402"/>
      <c r="D6" s="402"/>
      <c r="E6" s="402"/>
      <c r="F6" s="402"/>
      <c r="G6" s="402"/>
      <c r="H6" s="402"/>
      <c r="I6" s="402"/>
    </row>
    <row r="7" spans="1:9" ht="18.75" customHeight="1">
      <c r="A7" s="402"/>
      <c r="B7" s="402"/>
      <c r="C7" s="402"/>
      <c r="D7" s="402"/>
      <c r="E7" s="402"/>
      <c r="F7" s="402"/>
      <c r="G7" s="402"/>
      <c r="H7" s="402"/>
      <c r="I7" s="402"/>
    </row>
    <row r="8" spans="1:9">
      <c r="A8" s="403" t="s">
        <v>42</v>
      </c>
      <c r="B8" s="403"/>
      <c r="C8" s="403"/>
      <c r="D8" s="403"/>
      <c r="E8" s="403"/>
      <c r="F8" s="403"/>
      <c r="G8" s="403"/>
      <c r="H8" s="403"/>
      <c r="I8" s="403"/>
    </row>
    <row r="9" spans="1:9">
      <c r="A9" s="403"/>
      <c r="B9" s="403"/>
      <c r="C9" s="403"/>
      <c r="D9" s="403"/>
      <c r="E9" s="403"/>
      <c r="F9" s="403"/>
      <c r="G9" s="403"/>
      <c r="H9" s="403"/>
      <c r="I9" s="403"/>
    </row>
    <row r="10" spans="1:9">
      <c r="A10" s="403"/>
      <c r="B10" s="403"/>
      <c r="C10" s="403"/>
      <c r="D10" s="403"/>
      <c r="E10" s="403"/>
      <c r="F10" s="403"/>
      <c r="G10" s="403"/>
      <c r="H10" s="403"/>
      <c r="I10" s="403"/>
    </row>
    <row r="11" spans="1:9">
      <c r="A11" s="403"/>
      <c r="B11" s="403"/>
      <c r="C11" s="403"/>
      <c r="D11" s="403"/>
      <c r="E11" s="403"/>
      <c r="F11" s="403"/>
      <c r="G11" s="403"/>
      <c r="H11" s="403"/>
      <c r="I11" s="403"/>
    </row>
    <row r="12" spans="1:9">
      <c r="A12" s="403"/>
      <c r="B12" s="403"/>
      <c r="C12" s="403"/>
      <c r="D12" s="403"/>
      <c r="E12" s="403"/>
      <c r="F12" s="403"/>
      <c r="G12" s="403"/>
      <c r="H12" s="403"/>
      <c r="I12" s="403"/>
    </row>
    <row r="13" spans="1:9">
      <c r="A13" s="403"/>
      <c r="B13" s="403"/>
      <c r="C13" s="403"/>
      <c r="D13" s="403"/>
      <c r="E13" s="403"/>
      <c r="F13" s="403"/>
      <c r="G13" s="403"/>
      <c r="H13" s="403"/>
      <c r="I13" s="403"/>
    </row>
    <row r="14" spans="1:9">
      <c r="A14" s="403"/>
      <c r="B14" s="403"/>
      <c r="C14" s="403"/>
      <c r="D14" s="403"/>
      <c r="E14" s="403"/>
      <c r="F14" s="403"/>
      <c r="G14" s="403"/>
      <c r="H14" s="403"/>
      <c r="I14" s="403"/>
    </row>
    <row r="15" spans="1:9" ht="19.5" customHeight="1" thickBot="1">
      <c r="A15" s="167"/>
    </row>
    <row r="16" spans="1:9" ht="19.5" customHeight="1" thickBot="1">
      <c r="A16" s="404" t="s">
        <v>27</v>
      </c>
      <c r="B16" s="405"/>
      <c r="C16" s="405"/>
      <c r="D16" s="405"/>
      <c r="E16" s="405"/>
      <c r="F16" s="405"/>
      <c r="G16" s="405"/>
      <c r="H16" s="406"/>
    </row>
    <row r="17" spans="1:14" ht="20.25" customHeight="1">
      <c r="A17" s="407" t="s">
        <v>43</v>
      </c>
      <c r="B17" s="407"/>
      <c r="C17" s="407"/>
      <c r="D17" s="407"/>
      <c r="E17" s="407"/>
      <c r="F17" s="407"/>
      <c r="G17" s="407"/>
      <c r="H17" s="407"/>
    </row>
    <row r="18" spans="1:14" ht="26.25" customHeight="1">
      <c r="A18" s="169" t="s">
        <v>29</v>
      </c>
      <c r="B18" s="408" t="s">
        <v>121</v>
      </c>
      <c r="C18" s="408"/>
      <c r="D18" s="170"/>
      <c r="E18" s="171"/>
      <c r="F18" s="172"/>
      <c r="G18" s="172"/>
      <c r="H18" s="172"/>
    </row>
    <row r="19" spans="1:14" ht="26.25" customHeight="1">
      <c r="A19" s="169" t="s">
        <v>30</v>
      </c>
      <c r="B19" s="173" t="str">
        <f>'Tenofovir Disoproxil Fumarate'!B19</f>
        <v>NDQB201607003</v>
      </c>
      <c r="C19" s="172">
        <v>29</v>
      </c>
      <c r="D19" s="172"/>
      <c r="E19" s="172"/>
      <c r="F19" s="172"/>
      <c r="G19" s="172"/>
      <c r="H19" s="172"/>
    </row>
    <row r="20" spans="1:14" ht="26.25" customHeight="1">
      <c r="A20" s="169" t="s">
        <v>31</v>
      </c>
      <c r="B20" s="409" t="s">
        <v>122</v>
      </c>
      <c r="C20" s="409"/>
      <c r="D20" s="172"/>
      <c r="E20" s="172"/>
      <c r="F20" s="172"/>
      <c r="G20" s="172"/>
      <c r="H20" s="172"/>
    </row>
    <row r="21" spans="1:14" ht="26.25" customHeight="1">
      <c r="A21" s="169" t="s">
        <v>32</v>
      </c>
      <c r="B21" s="409" t="s">
        <v>8</v>
      </c>
      <c r="C21" s="409"/>
      <c r="D21" s="409"/>
      <c r="E21" s="409"/>
      <c r="F21" s="409"/>
      <c r="G21" s="409"/>
      <c r="H21" s="409"/>
      <c r="I21" s="174"/>
    </row>
    <row r="22" spans="1:14" ht="26.25" customHeight="1">
      <c r="A22" s="169" t="s">
        <v>33</v>
      </c>
      <c r="B22" s="175">
        <f>'Tenofovir Disoproxil Fumarate'!B22</f>
        <v>42618</v>
      </c>
      <c r="C22" s="172"/>
      <c r="D22" s="172"/>
      <c r="E22" s="172"/>
      <c r="F22" s="172"/>
      <c r="G22" s="172"/>
      <c r="H22" s="172"/>
    </row>
    <row r="23" spans="1:14" ht="26.25" customHeight="1">
      <c r="A23" s="169" t="s">
        <v>34</v>
      </c>
      <c r="B23" s="175" t="str">
        <f>'Tenofovir Disoproxil Fumarate'!B23</f>
        <v>30/9/2016</v>
      </c>
      <c r="C23" s="172"/>
      <c r="D23" s="172"/>
      <c r="E23" s="172"/>
      <c r="F23" s="172"/>
      <c r="G23" s="172"/>
      <c r="H23" s="172"/>
    </row>
    <row r="24" spans="1:14" ht="18.75">
      <c r="A24" s="169"/>
      <c r="B24" s="176"/>
    </row>
    <row r="25" spans="1:14" ht="18.75">
      <c r="A25" s="177" t="s">
        <v>1</v>
      </c>
      <c r="B25" s="176"/>
    </row>
    <row r="26" spans="1:14" ht="26.25" customHeight="1">
      <c r="A26" s="178" t="s">
        <v>4</v>
      </c>
      <c r="B26" s="408" t="s">
        <v>125</v>
      </c>
      <c r="C26" s="408"/>
    </row>
    <row r="27" spans="1:14" ht="26.25" customHeight="1">
      <c r="A27" s="179" t="s">
        <v>44</v>
      </c>
      <c r="B27" s="410" t="s">
        <v>132</v>
      </c>
      <c r="C27" s="410"/>
    </row>
    <row r="28" spans="1:14" ht="27" customHeight="1" thickBot="1">
      <c r="A28" s="179" t="s">
        <v>5</v>
      </c>
      <c r="B28" s="180">
        <v>100</v>
      </c>
    </row>
    <row r="29" spans="1:14" s="182" customFormat="1" ht="27" customHeight="1" thickBot="1">
      <c r="A29" s="179" t="s">
        <v>45</v>
      </c>
      <c r="B29" s="181">
        <v>0</v>
      </c>
      <c r="C29" s="391" t="s">
        <v>46</v>
      </c>
      <c r="D29" s="392"/>
      <c r="E29" s="392"/>
      <c r="F29" s="392"/>
      <c r="G29" s="393"/>
      <c r="I29" s="183"/>
      <c r="J29" s="183"/>
      <c r="K29" s="183"/>
      <c r="L29" s="183"/>
    </row>
    <row r="30" spans="1:14" s="182" customFormat="1" ht="19.5" customHeight="1" thickBot="1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>
      <c r="A31" s="179" t="s">
        <v>48</v>
      </c>
      <c r="B31" s="187">
        <v>1</v>
      </c>
      <c r="C31" s="394" t="s">
        <v>49</v>
      </c>
      <c r="D31" s="395"/>
      <c r="E31" s="395"/>
      <c r="F31" s="395"/>
      <c r="G31" s="395"/>
      <c r="H31" s="396"/>
      <c r="I31" s="183"/>
      <c r="J31" s="183"/>
      <c r="K31" s="183"/>
      <c r="L31" s="183"/>
    </row>
    <row r="32" spans="1:14" s="182" customFormat="1" ht="27" customHeight="1" thickBot="1">
      <c r="A32" s="179" t="s">
        <v>50</v>
      </c>
      <c r="B32" s="187">
        <v>1</v>
      </c>
      <c r="C32" s="394" t="s">
        <v>51</v>
      </c>
      <c r="D32" s="395"/>
      <c r="E32" s="395"/>
      <c r="F32" s="395"/>
      <c r="G32" s="395"/>
      <c r="H32" s="396"/>
      <c r="I32" s="183"/>
      <c r="J32" s="183"/>
      <c r="K32" s="183"/>
      <c r="L32" s="188"/>
      <c r="M32" s="188"/>
      <c r="N32" s="189"/>
    </row>
    <row r="33" spans="1:14" s="182" customFormat="1" ht="17.25" customHeight="1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>
      <c r="A36" s="193" t="s">
        <v>54</v>
      </c>
      <c r="B36" s="194">
        <v>50</v>
      </c>
      <c r="C36" s="167"/>
      <c r="D36" s="381" t="s">
        <v>55</v>
      </c>
      <c r="E36" s="401"/>
      <c r="F36" s="381" t="s">
        <v>56</v>
      </c>
      <c r="G36" s="382"/>
      <c r="J36" s="183"/>
      <c r="K36" s="183"/>
      <c r="L36" s="188"/>
      <c r="M36" s="188"/>
      <c r="N36" s="189"/>
    </row>
    <row r="37" spans="1:14" s="182" customFormat="1" ht="27" customHeight="1" thickBot="1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>
      <c r="A38" s="195" t="s">
        <v>62</v>
      </c>
      <c r="B38" s="196">
        <v>25</v>
      </c>
      <c r="C38" s="202">
        <v>1</v>
      </c>
      <c r="D38" s="203">
        <v>42473155</v>
      </c>
      <c r="E38" s="204">
        <f>IF(ISBLANK(D38),"-",$D$48/$D$45*D38)</f>
        <v>43847028.561596699</v>
      </c>
      <c r="F38" s="203">
        <v>45405966</v>
      </c>
      <c r="G38" s="205">
        <f>IF(ISBLANK(F38),"-",$D$48/$F$45*F38)</f>
        <v>44867555.335968383</v>
      </c>
      <c r="I38" s="206"/>
      <c r="J38" s="183"/>
      <c r="K38" s="183"/>
      <c r="L38" s="188"/>
      <c r="M38" s="188"/>
      <c r="N38" s="189"/>
    </row>
    <row r="39" spans="1:14" s="182" customFormat="1" ht="26.25" customHeight="1">
      <c r="A39" s="195" t="s">
        <v>63</v>
      </c>
      <c r="B39" s="196">
        <v>1</v>
      </c>
      <c r="C39" s="207">
        <v>2</v>
      </c>
      <c r="D39" s="208">
        <v>42648679</v>
      </c>
      <c r="E39" s="209">
        <f>IF(ISBLANK(D39),"-",$D$48/$D$45*D39)</f>
        <v>44028230.213351689</v>
      </c>
      <c r="F39" s="208">
        <v>45519356</v>
      </c>
      <c r="G39" s="210">
        <f>IF(ISBLANK(F39),"-",$D$48/$F$45*F39)</f>
        <v>44979600.790513836</v>
      </c>
      <c r="I39" s="372">
        <f>ABS((F43/D43*D42)-F42)/D42</f>
        <v>1.8569829264579295E-2</v>
      </c>
      <c r="J39" s="183"/>
      <c r="K39" s="183"/>
      <c r="L39" s="188"/>
      <c r="M39" s="188"/>
      <c r="N39" s="189"/>
    </row>
    <row r="40" spans="1:14" ht="26.25" customHeight="1">
      <c r="A40" s="195" t="s">
        <v>64</v>
      </c>
      <c r="B40" s="196">
        <v>1</v>
      </c>
      <c r="C40" s="207">
        <v>3</v>
      </c>
      <c r="D40" s="208">
        <v>42727149</v>
      </c>
      <c r="E40" s="209">
        <f>IF(ISBLANK(D40),"-",$D$48/$D$45*D40)</f>
        <v>44109238.472126633</v>
      </c>
      <c r="F40" s="208">
        <v>45017123</v>
      </c>
      <c r="G40" s="210">
        <f>IF(ISBLANK(F40),"-",$D$48/$F$45*F40)</f>
        <v>44483323.122529648</v>
      </c>
      <c r="I40" s="372"/>
      <c r="L40" s="188"/>
      <c r="M40" s="188"/>
      <c r="N40" s="167"/>
    </row>
    <row r="41" spans="1:14" ht="27" customHeight="1" thickBot="1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>
      <c r="A42" s="195" t="s">
        <v>66</v>
      </c>
      <c r="B42" s="196">
        <v>1</v>
      </c>
      <c r="C42" s="216" t="s">
        <v>67</v>
      </c>
      <c r="D42" s="217">
        <f>AVERAGE(D38:D41)</f>
        <v>42616327.666666664</v>
      </c>
      <c r="E42" s="218">
        <f>AVERAGE(E38:E41)</f>
        <v>43994832.415691674</v>
      </c>
      <c r="F42" s="217">
        <f>AVERAGE(F38:F41)</f>
        <v>45314148.333333336</v>
      </c>
      <c r="G42" s="219">
        <f>AVERAGE(G38:G41)</f>
        <v>44776826.416337289</v>
      </c>
      <c r="H42" s="220"/>
    </row>
    <row r="43" spans="1:14" ht="26.25" customHeight="1">
      <c r="A43" s="195" t="s">
        <v>68</v>
      </c>
      <c r="B43" s="196">
        <v>1</v>
      </c>
      <c r="C43" s="221" t="s">
        <v>69</v>
      </c>
      <c r="D43" s="222">
        <v>14.53</v>
      </c>
      <c r="E43" s="167"/>
      <c r="F43" s="222">
        <v>15.18</v>
      </c>
      <c r="H43" s="220"/>
    </row>
    <row r="44" spans="1:14" ht="26.25" customHeight="1">
      <c r="A44" s="195" t="s">
        <v>70</v>
      </c>
      <c r="B44" s="196">
        <v>1</v>
      </c>
      <c r="C44" s="223" t="s">
        <v>71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>
      <c r="A46" s="373" t="s">
        <v>74</v>
      </c>
      <c r="B46" s="377"/>
      <c r="C46" s="223" t="s">
        <v>75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>
      <c r="A47" s="375"/>
      <c r="B47" s="378"/>
      <c r="C47" s="231" t="s">
        <v>76</v>
      </c>
      <c r="D47" s="232">
        <v>0.12</v>
      </c>
      <c r="E47" s="233"/>
      <c r="F47" s="229"/>
      <c r="H47" s="220"/>
    </row>
    <row r="48" spans="1:14" ht="18.75">
      <c r="C48" s="234" t="s">
        <v>77</v>
      </c>
      <c r="D48" s="226">
        <f>D47*$B$45</f>
        <v>15</v>
      </c>
      <c r="F48" s="235"/>
      <c r="H48" s="220"/>
    </row>
    <row r="49" spans="1:12" ht="19.5" customHeight="1" thickBot="1">
      <c r="C49" s="236" t="s">
        <v>78</v>
      </c>
      <c r="D49" s="237">
        <f>D48/B34</f>
        <v>15</v>
      </c>
      <c r="F49" s="235"/>
      <c r="H49" s="220"/>
    </row>
    <row r="50" spans="1:12" ht="18.75">
      <c r="C50" s="193" t="s">
        <v>79</v>
      </c>
      <c r="D50" s="238">
        <f>AVERAGE(E38:E41,G38:G41)</f>
        <v>44385829.416014485</v>
      </c>
      <c r="F50" s="239"/>
      <c r="H50" s="220"/>
    </row>
    <row r="51" spans="1:12" ht="18.75">
      <c r="C51" s="195" t="s">
        <v>80</v>
      </c>
      <c r="D51" s="240">
        <f>STDEV(E38:E41,G38:G41)/D50</f>
        <v>1.0513511440224711E-2</v>
      </c>
      <c r="F51" s="239"/>
      <c r="H51" s="220"/>
    </row>
    <row r="52" spans="1:12" ht="19.5" customHeight="1" thickBot="1">
      <c r="C52" s="241" t="s">
        <v>16</v>
      </c>
      <c r="D52" s="242">
        <f>COUNT(E38:E41,G38:G41)</f>
        <v>6</v>
      </c>
      <c r="F52" s="239"/>
    </row>
    <row r="54" spans="1:12" ht="18.75">
      <c r="A54" s="243" t="s">
        <v>1</v>
      </c>
      <c r="B54" s="244" t="s">
        <v>81</v>
      </c>
    </row>
    <row r="55" spans="1:12" ht="18.75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>
      <c r="A57" s="245" t="s">
        <v>84</v>
      </c>
      <c r="B57" s="247">
        <f>'Tenofovir Disoproxil Fumarate'!B57</f>
        <v>867.72049999999979</v>
      </c>
      <c r="H57" s="225"/>
    </row>
    <row r="58" spans="1:12" ht="19.5" customHeight="1" thickBot="1">
      <c r="H58" s="225"/>
    </row>
    <row r="59" spans="1:12" s="182" customFormat="1" ht="27" customHeight="1" thickBot="1">
      <c r="A59" s="193" t="s">
        <v>85</v>
      </c>
      <c r="B59" s="194">
        <v>200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>
      <c r="A60" s="195" t="s">
        <v>89</v>
      </c>
      <c r="B60" s="196">
        <v>4</v>
      </c>
      <c r="C60" s="383" t="s">
        <v>90</v>
      </c>
      <c r="D60" s="386">
        <f>'Tenofovir Disoproxil Fumarate'!D60:D63</f>
        <v>877.93</v>
      </c>
      <c r="E60" s="250">
        <v>1</v>
      </c>
      <c r="F60" s="251">
        <v>45953039</v>
      </c>
      <c r="G60" s="252">
        <f>IF(ISBLANK(F60),"-",(F60/$D$50*$D$47*$B$68)*($B$57/$D$60))</f>
        <v>306.98073450691652</v>
      </c>
      <c r="H60" s="253">
        <f t="shared" ref="H60:H71" si="0">IF(ISBLANK(F60),"-",G60/$B$56)</f>
        <v>1.0232691150230551</v>
      </c>
      <c r="L60" s="183"/>
    </row>
    <row r="61" spans="1:12" s="182" customFormat="1" ht="26.25" customHeight="1">
      <c r="A61" s="195" t="s">
        <v>91</v>
      </c>
      <c r="B61" s="196">
        <v>50</v>
      </c>
      <c r="C61" s="384"/>
      <c r="D61" s="387"/>
      <c r="E61" s="254">
        <v>2</v>
      </c>
      <c r="F61" s="208">
        <v>45948502</v>
      </c>
      <c r="G61" s="255">
        <f>IF(ISBLANK(F61),"-",(F61/$D$50*$D$47*$B$68)*($B$57/$D$60))</f>
        <v>306.95042592183125</v>
      </c>
      <c r="H61" s="256">
        <f t="shared" si="0"/>
        <v>1.0231680864061041</v>
      </c>
      <c r="L61" s="183"/>
    </row>
    <row r="62" spans="1:12" s="182" customFormat="1" ht="26.25" customHeight="1">
      <c r="A62" s="195" t="s">
        <v>92</v>
      </c>
      <c r="B62" s="196">
        <v>1</v>
      </c>
      <c r="C62" s="384"/>
      <c r="D62" s="387"/>
      <c r="E62" s="254">
        <v>3</v>
      </c>
      <c r="F62" s="257">
        <v>46212001</v>
      </c>
      <c r="G62" s="255">
        <f>IF(ISBLANK(F62),"-",(F62/$D$50*$D$47*$B$68)*($B$57/$D$60))</f>
        <v>308.71068200765478</v>
      </c>
      <c r="H62" s="256">
        <f t="shared" si="0"/>
        <v>1.0290356066921826</v>
      </c>
      <c r="L62" s="183"/>
    </row>
    <row r="63" spans="1:12" ht="27" customHeight="1" thickBot="1">
      <c r="A63" s="195" t="s">
        <v>93</v>
      </c>
      <c r="B63" s="196">
        <v>1</v>
      </c>
      <c r="C63" s="385"/>
      <c r="D63" s="388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>
      <c r="A64" s="195" t="s">
        <v>94</v>
      </c>
      <c r="B64" s="196">
        <v>1</v>
      </c>
      <c r="C64" s="383" t="s">
        <v>95</v>
      </c>
      <c r="D64" s="386">
        <f>'Tenofovir Disoproxil Fumarate'!D64:D67</f>
        <v>872.63</v>
      </c>
      <c r="E64" s="250">
        <v>1</v>
      </c>
      <c r="F64" s="251">
        <v>44173767</v>
      </c>
      <c r="G64" s="260">
        <f>IF(ISBLANK(F64),"-",(F64/$D$50*$D$47*$B$68)*($B$57/$D$64))</f>
        <v>296.88692358678878</v>
      </c>
      <c r="H64" s="261">
        <f t="shared" si="0"/>
        <v>0.98962307862262933</v>
      </c>
    </row>
    <row r="65" spans="1:8" ht="26.25" customHeight="1">
      <c r="A65" s="195" t="s">
        <v>96</v>
      </c>
      <c r="B65" s="196">
        <v>1</v>
      </c>
      <c r="C65" s="384"/>
      <c r="D65" s="387"/>
      <c r="E65" s="254">
        <v>2</v>
      </c>
      <c r="F65" s="208">
        <v>44168289</v>
      </c>
      <c r="G65" s="262">
        <f>IF(ISBLANK(F65),"-",(F65/$D$50*$D$47*$B$68)*($B$57/$D$64))</f>
        <v>296.85010656442773</v>
      </c>
      <c r="H65" s="263">
        <f t="shared" si="0"/>
        <v>0.9895003552147591</v>
      </c>
    </row>
    <row r="66" spans="1:8" ht="26.25" customHeight="1">
      <c r="A66" s="195" t="s">
        <v>97</v>
      </c>
      <c r="B66" s="196">
        <v>1</v>
      </c>
      <c r="C66" s="384"/>
      <c r="D66" s="387"/>
      <c r="E66" s="254">
        <v>3</v>
      </c>
      <c r="F66" s="208">
        <v>44189127</v>
      </c>
      <c r="G66" s="262">
        <f>IF(ISBLANK(F66),"-",(F66/$D$50*$D$47*$B$68)*($B$57/$D$64))</f>
        <v>296.99015642057208</v>
      </c>
      <c r="H66" s="263">
        <f t="shared" si="0"/>
        <v>0.98996718806857364</v>
      </c>
    </row>
    <row r="67" spans="1:8" ht="27" customHeight="1" thickBot="1">
      <c r="A67" s="195" t="s">
        <v>98</v>
      </c>
      <c r="B67" s="196">
        <v>1</v>
      </c>
      <c r="C67" s="385"/>
      <c r="D67" s="388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>
      <c r="A68" s="195" t="s">
        <v>99</v>
      </c>
      <c r="B68" s="266">
        <f>(B67/B66)*(B65/B64)*(B63/B62)*(B61/B60)*B59</f>
        <v>2500</v>
      </c>
      <c r="C68" s="383" t="s">
        <v>100</v>
      </c>
      <c r="D68" s="386">
        <f>'Tenofovir Disoproxil Fumarate'!D68:D71</f>
        <v>868.02</v>
      </c>
      <c r="E68" s="250">
        <v>1</v>
      </c>
      <c r="F68" s="251">
        <v>45568341</v>
      </c>
      <c r="G68" s="260">
        <f>IF(ISBLANK(F68),"-",(F68/$D$50*$D$47*$B$68)*($B$57/$D$68))</f>
        <v>307.88622484278386</v>
      </c>
      <c r="H68" s="256">
        <f t="shared" si="0"/>
        <v>1.0262874161426128</v>
      </c>
    </row>
    <row r="69" spans="1:8" ht="27" customHeight="1" thickBot="1">
      <c r="A69" s="241" t="s">
        <v>101</v>
      </c>
      <c r="B69" s="267">
        <f>(D47*B68)/B56*B57</f>
        <v>867.72049999999979</v>
      </c>
      <c r="C69" s="384"/>
      <c r="D69" s="387"/>
      <c r="E69" s="254">
        <v>2</v>
      </c>
      <c r="F69" s="208">
        <v>45486713</v>
      </c>
      <c r="G69" s="262">
        <f>IF(ISBLANK(F69),"-",(F69/$D$50*$D$47*$B$68)*($B$57/$D$68))</f>
        <v>307.33469858113079</v>
      </c>
      <c r="H69" s="256">
        <f t="shared" si="0"/>
        <v>1.0244489952704361</v>
      </c>
    </row>
    <row r="70" spans="1:8" ht="26.25" customHeight="1">
      <c r="A70" s="397" t="s">
        <v>74</v>
      </c>
      <c r="B70" s="398"/>
      <c r="C70" s="384"/>
      <c r="D70" s="387"/>
      <c r="E70" s="254">
        <v>3</v>
      </c>
      <c r="F70" s="208">
        <v>45377163</v>
      </c>
      <c r="G70" s="262">
        <f>IF(ISBLANK(F70),"-",(F70/$D$50*$D$47*$B$68)*($B$57/$D$68))</f>
        <v>306.59451504160864</v>
      </c>
      <c r="H70" s="256">
        <f t="shared" si="0"/>
        <v>1.0219817168053622</v>
      </c>
    </row>
    <row r="71" spans="1:8" ht="27" customHeight="1" thickBot="1">
      <c r="A71" s="399"/>
      <c r="B71" s="400"/>
      <c r="C71" s="389"/>
      <c r="D71" s="388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>
      <c r="A72" s="225"/>
      <c r="B72" s="225"/>
      <c r="C72" s="225"/>
      <c r="D72" s="225"/>
      <c r="E72" s="225"/>
      <c r="F72" s="269" t="s">
        <v>67</v>
      </c>
      <c r="G72" s="270">
        <f>AVERAGE(G60:G71)</f>
        <v>303.90938527485719</v>
      </c>
      <c r="H72" s="271">
        <f>AVERAGE(H60:H71)</f>
        <v>1.0130312842495239</v>
      </c>
    </row>
    <row r="73" spans="1:8" ht="26.25" customHeight="1">
      <c r="C73" s="225"/>
      <c r="D73" s="225"/>
      <c r="E73" s="225"/>
      <c r="F73" s="272" t="s">
        <v>80</v>
      </c>
      <c r="G73" s="273">
        <f>STDEV(G60:G71)/G72</f>
        <v>1.7392613104509212E-2</v>
      </c>
      <c r="H73" s="273">
        <f>STDEV(H60:H71)/H72</f>
        <v>1.739261310451307E-2</v>
      </c>
    </row>
    <row r="74" spans="1:8" ht="27" customHeight="1" thickBot="1">
      <c r="A74" s="225"/>
      <c r="B74" s="225"/>
      <c r="C74" s="225"/>
      <c r="D74" s="225"/>
      <c r="E74" s="227"/>
      <c r="F74" s="274" t="s">
        <v>16</v>
      </c>
      <c r="G74" s="275">
        <f>COUNT(G60:G71)</f>
        <v>9</v>
      </c>
      <c r="H74" s="275">
        <f>COUNT(H60:H71)</f>
        <v>9</v>
      </c>
    </row>
    <row r="76" spans="1:8" ht="26.25" customHeight="1">
      <c r="A76" s="178" t="s">
        <v>102</v>
      </c>
      <c r="B76" s="179" t="s">
        <v>103</v>
      </c>
      <c r="C76" s="379" t="str">
        <f>B20</f>
        <v xml:space="preserve">Tenofovir Disoproxil Fumarate 300mg, Lamivudine 300mg &amp; Efavirenz 600mg </v>
      </c>
      <c r="D76" s="379"/>
      <c r="E76" s="167" t="s">
        <v>104</v>
      </c>
      <c r="F76" s="167"/>
      <c r="G76" s="276">
        <f>H72</f>
        <v>1.0130312842495239</v>
      </c>
      <c r="H76" s="184"/>
    </row>
    <row r="77" spans="1:8" ht="18.75">
      <c r="A77" s="177" t="s">
        <v>105</v>
      </c>
      <c r="B77" s="177" t="s">
        <v>106</v>
      </c>
    </row>
    <row r="78" spans="1:8" ht="18.75">
      <c r="A78" s="177"/>
      <c r="B78" s="177"/>
    </row>
    <row r="79" spans="1:8" ht="26.25" customHeight="1">
      <c r="A79" s="178" t="s">
        <v>4</v>
      </c>
      <c r="B79" s="390" t="str">
        <f>B26</f>
        <v>Lamivudine</v>
      </c>
      <c r="C79" s="390"/>
    </row>
    <row r="80" spans="1:8" ht="26.25" customHeight="1">
      <c r="A80" s="179" t="s">
        <v>44</v>
      </c>
      <c r="B80" s="390" t="str">
        <f>B27</f>
        <v>L3-10</v>
      </c>
      <c r="C80" s="390"/>
    </row>
    <row r="81" spans="1:12" ht="27" customHeight="1" thickBot="1">
      <c r="A81" s="179" t="s">
        <v>5</v>
      </c>
      <c r="B81" s="180">
        <f>B28</f>
        <v>100</v>
      </c>
    </row>
    <row r="82" spans="1:12" s="182" customFormat="1" ht="27" customHeight="1" thickBot="1">
      <c r="A82" s="179" t="s">
        <v>45</v>
      </c>
      <c r="B82" s="181">
        <v>0</v>
      </c>
      <c r="C82" s="391" t="s">
        <v>46</v>
      </c>
      <c r="D82" s="392"/>
      <c r="E82" s="392"/>
      <c r="F82" s="392"/>
      <c r="G82" s="393"/>
      <c r="I82" s="183"/>
      <c r="J82" s="183"/>
      <c r="K82" s="183"/>
      <c r="L82" s="183"/>
    </row>
    <row r="83" spans="1:12" s="182" customFormat="1" ht="19.5" customHeight="1" thickBot="1">
      <c r="A83" s="179" t="s">
        <v>47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>
      <c r="A84" s="179" t="s">
        <v>48</v>
      </c>
      <c r="B84" s="187">
        <v>1</v>
      </c>
      <c r="C84" s="394" t="s">
        <v>107</v>
      </c>
      <c r="D84" s="395"/>
      <c r="E84" s="395"/>
      <c r="F84" s="395"/>
      <c r="G84" s="395"/>
      <c r="H84" s="396"/>
      <c r="I84" s="183"/>
      <c r="J84" s="183"/>
      <c r="K84" s="183"/>
      <c r="L84" s="183"/>
    </row>
    <row r="85" spans="1:12" s="182" customFormat="1" ht="27" customHeight="1" thickBot="1">
      <c r="A85" s="179" t="s">
        <v>50</v>
      </c>
      <c r="B85" s="187">
        <v>1</v>
      </c>
      <c r="C85" s="394" t="s">
        <v>108</v>
      </c>
      <c r="D85" s="395"/>
      <c r="E85" s="395"/>
      <c r="F85" s="395"/>
      <c r="G85" s="395"/>
      <c r="H85" s="396"/>
      <c r="I85" s="183"/>
      <c r="J85" s="183"/>
      <c r="K85" s="183"/>
      <c r="L85" s="183"/>
    </row>
    <row r="86" spans="1:12" s="182" customFormat="1" ht="18.75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>
      <c r="A88" s="177"/>
      <c r="B88" s="177"/>
    </row>
    <row r="89" spans="1:12" ht="27" customHeight="1" thickBot="1">
      <c r="A89" s="193" t="s">
        <v>54</v>
      </c>
      <c r="B89" s="194">
        <v>50</v>
      </c>
      <c r="D89" s="277" t="s">
        <v>55</v>
      </c>
      <c r="E89" s="278"/>
      <c r="F89" s="381" t="s">
        <v>56</v>
      </c>
      <c r="G89" s="382"/>
    </row>
    <row r="90" spans="1:12" ht="27" customHeight="1" thickBot="1">
      <c r="A90" s="195" t="s">
        <v>57</v>
      </c>
      <c r="B90" s="196">
        <v>1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>
      <c r="A91" s="195" t="s">
        <v>62</v>
      </c>
      <c r="B91" s="196">
        <v>1</v>
      </c>
      <c r="C91" s="281">
        <v>1</v>
      </c>
      <c r="D91" s="203">
        <v>103252926</v>
      </c>
      <c r="E91" s="204">
        <f>IF(ISBLANK(D91),"-",$D$101/$D$98*D91)</f>
        <v>105791932.37704918</v>
      </c>
      <c r="F91" s="203">
        <v>107573142</v>
      </c>
      <c r="G91" s="205">
        <f>IF(ISBLANK(F91),"-",$D$101/$F$98*F91)</f>
        <v>106931552.68389663</v>
      </c>
      <c r="I91" s="206"/>
    </row>
    <row r="92" spans="1:12" ht="26.25" customHeight="1">
      <c r="A92" s="195" t="s">
        <v>63</v>
      </c>
      <c r="B92" s="196">
        <v>1</v>
      </c>
      <c r="C92" s="225">
        <v>2</v>
      </c>
      <c r="D92" s="208">
        <v>103521497</v>
      </c>
      <c r="E92" s="209">
        <f>IF(ISBLANK(D92),"-",$D$101/$D$98*D92)</f>
        <v>106067107.5819672</v>
      </c>
      <c r="F92" s="208">
        <v>107844690</v>
      </c>
      <c r="G92" s="210">
        <f>IF(ISBLANK(F92),"-",$D$101/$F$98*F92)</f>
        <v>107201481.11332008</v>
      </c>
      <c r="I92" s="372">
        <f>ABS((F96/D96*D95)-F95)/D95</f>
        <v>1.2287460220186558E-2</v>
      </c>
    </row>
    <row r="93" spans="1:12" ht="26.25" customHeight="1">
      <c r="A93" s="195" t="s">
        <v>64</v>
      </c>
      <c r="B93" s="196">
        <v>1</v>
      </c>
      <c r="C93" s="225">
        <v>3</v>
      </c>
      <c r="D93" s="208">
        <v>102864528</v>
      </c>
      <c r="E93" s="209">
        <f>IF(ISBLANK(D93),"-",$D$101/$D$98*D93)</f>
        <v>105393983.60655737</v>
      </c>
      <c r="F93" s="208">
        <v>107543386</v>
      </c>
      <c r="G93" s="210">
        <f>IF(ISBLANK(F93),"-",$D$101/$F$98*F93)</f>
        <v>106901974.15506959</v>
      </c>
      <c r="I93" s="372"/>
    </row>
    <row r="94" spans="1:12" ht="27" customHeight="1" thickBot="1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>
      <c r="A95" s="195" t="s">
        <v>66</v>
      </c>
      <c r="B95" s="196">
        <v>1</v>
      </c>
      <c r="C95" s="179" t="s">
        <v>67</v>
      </c>
      <c r="D95" s="284">
        <f>AVERAGE(D91:D94)</f>
        <v>103212983.66666667</v>
      </c>
      <c r="E95" s="218">
        <f>AVERAGE(E91:E94)</f>
        <v>105751007.85519125</v>
      </c>
      <c r="F95" s="285">
        <f>AVERAGE(F91:F94)</f>
        <v>107653739.33333333</v>
      </c>
      <c r="G95" s="286">
        <f>AVERAGE(G91:G94)</f>
        <v>107011669.31742877</v>
      </c>
    </row>
    <row r="96" spans="1:12" ht="26.25" customHeight="1">
      <c r="A96" s="195" t="s">
        <v>68</v>
      </c>
      <c r="B96" s="180">
        <v>1</v>
      </c>
      <c r="C96" s="287" t="s">
        <v>109</v>
      </c>
      <c r="D96" s="288">
        <v>14.64</v>
      </c>
      <c r="E96" s="167"/>
      <c r="F96" s="222">
        <v>15.09</v>
      </c>
    </row>
    <row r="97" spans="1:10" ht="26.25" customHeight="1">
      <c r="A97" s="195" t="s">
        <v>70</v>
      </c>
      <c r="B97" s="180">
        <v>1</v>
      </c>
      <c r="C97" s="289" t="s">
        <v>110</v>
      </c>
      <c r="D97" s="290">
        <f>D96*$B$87</f>
        <v>14.64</v>
      </c>
      <c r="E97" s="225"/>
      <c r="F97" s="224">
        <f>F96*$B$87</f>
        <v>15.09</v>
      </c>
    </row>
    <row r="98" spans="1:10" ht="19.5" customHeight="1" thickBot="1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14.64</v>
      </c>
      <c r="E98" s="227"/>
      <c r="F98" s="226">
        <f>F97*$B$83/100</f>
        <v>15.09</v>
      </c>
    </row>
    <row r="99" spans="1:10" ht="19.5" customHeight="1" thickBot="1">
      <c r="A99" s="373" t="s">
        <v>74</v>
      </c>
      <c r="B99" s="374"/>
      <c r="C99" s="289" t="s">
        <v>112</v>
      </c>
      <c r="D99" s="292">
        <f>D98/$B$98</f>
        <v>0.2928</v>
      </c>
      <c r="E99" s="227"/>
      <c r="F99" s="230">
        <f>F98/$B$98</f>
        <v>0.30180000000000001</v>
      </c>
      <c r="H99" s="220"/>
    </row>
    <row r="100" spans="1:10" ht="19.5" customHeight="1" thickBot="1">
      <c r="A100" s="375"/>
      <c r="B100" s="376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>
      <c r="C103" s="298" t="s">
        <v>113</v>
      </c>
      <c r="D103" s="299">
        <f>AVERAGE(E91:E94,G91:G94)</f>
        <v>106381338.58631001</v>
      </c>
      <c r="F103" s="239"/>
      <c r="G103" s="294"/>
      <c r="H103" s="220"/>
      <c r="J103" s="300"/>
    </row>
    <row r="104" spans="1:10" ht="18.75">
      <c r="C104" s="272" t="s">
        <v>80</v>
      </c>
      <c r="D104" s="301">
        <f>STDEV(E91:E94,G91:G94)/D103</f>
        <v>6.8658923300117065E-3</v>
      </c>
      <c r="F104" s="239"/>
      <c r="H104" s="220"/>
      <c r="J104" s="300"/>
    </row>
    <row r="105" spans="1:10" ht="19.5" customHeight="1" thickBot="1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>
      <c r="A106" s="243"/>
      <c r="B106" s="243"/>
      <c r="C106" s="243"/>
      <c r="D106" s="243"/>
      <c r="E106" s="243"/>
    </row>
    <row r="107" spans="1:10" ht="26.25" customHeight="1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>
      <c r="A108" s="195" t="s">
        <v>118</v>
      </c>
      <c r="B108" s="196">
        <v>1</v>
      </c>
      <c r="C108" s="306">
        <v>1</v>
      </c>
      <c r="D108" s="307">
        <v>106361065</v>
      </c>
      <c r="E108" s="308">
        <f t="shared" ref="E108:E113" si="1">IF(ISBLANK(D108),"-",D108/$D$103*$D$100*$B$116)</f>
        <v>299.94282760516245</v>
      </c>
      <c r="F108" s="309">
        <f t="shared" ref="F108:F113" si="2">IF(ISBLANK(D108), "-", E108/$B$56)</f>
        <v>0.99980942535054151</v>
      </c>
    </row>
    <row r="109" spans="1:10" ht="26.25" customHeight="1">
      <c r="A109" s="195" t="s">
        <v>91</v>
      </c>
      <c r="B109" s="196">
        <v>1</v>
      </c>
      <c r="C109" s="306">
        <v>2</v>
      </c>
      <c r="D109" s="307">
        <v>106992298</v>
      </c>
      <c r="E109" s="310">
        <f t="shared" si="1"/>
        <v>301.72293210954746</v>
      </c>
      <c r="F109" s="311">
        <f t="shared" si="2"/>
        <v>1.0057431070318248</v>
      </c>
    </row>
    <row r="110" spans="1:10" ht="26.25" customHeight="1">
      <c r="A110" s="195" t="s">
        <v>92</v>
      </c>
      <c r="B110" s="196">
        <v>1</v>
      </c>
      <c r="C110" s="306">
        <v>3</v>
      </c>
      <c r="D110" s="307">
        <v>106717448</v>
      </c>
      <c r="E110" s="310">
        <f t="shared" si="1"/>
        <v>300.94784315977739</v>
      </c>
      <c r="F110" s="311">
        <f t="shared" si="2"/>
        <v>1.003159477199258</v>
      </c>
    </row>
    <row r="111" spans="1:10" ht="26.25" customHeight="1">
      <c r="A111" s="195" t="s">
        <v>93</v>
      </c>
      <c r="B111" s="196">
        <v>1</v>
      </c>
      <c r="C111" s="306">
        <v>4</v>
      </c>
      <c r="D111" s="307">
        <v>106897360</v>
      </c>
      <c r="E111" s="310">
        <f t="shared" si="1"/>
        <v>301.45520282188778</v>
      </c>
      <c r="F111" s="311">
        <f t="shared" si="2"/>
        <v>1.0048506760729592</v>
      </c>
    </row>
    <row r="112" spans="1:10" ht="26.25" customHeight="1">
      <c r="A112" s="195" t="s">
        <v>94</v>
      </c>
      <c r="B112" s="196">
        <v>1</v>
      </c>
      <c r="C112" s="306">
        <v>5</v>
      </c>
      <c r="D112" s="307">
        <v>106057291</v>
      </c>
      <c r="E112" s="310">
        <f t="shared" si="1"/>
        <v>299.0861717178513</v>
      </c>
      <c r="F112" s="311">
        <f t="shared" si="2"/>
        <v>0.99695390572617104</v>
      </c>
    </row>
    <row r="113" spans="1:10" ht="26.25" customHeight="1">
      <c r="A113" s="195" t="s">
        <v>96</v>
      </c>
      <c r="B113" s="196">
        <v>1</v>
      </c>
      <c r="C113" s="312">
        <v>6</v>
      </c>
      <c r="D113" s="313">
        <v>107567304</v>
      </c>
      <c r="E113" s="314">
        <f t="shared" si="1"/>
        <v>303.34447402932733</v>
      </c>
      <c r="F113" s="315">
        <f t="shared" si="2"/>
        <v>1.0111482467644244</v>
      </c>
    </row>
    <row r="114" spans="1:10" ht="26.25" customHeight="1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301.08324190725892</v>
      </c>
      <c r="F115" s="319">
        <f>AVERAGE(F108:F113)</f>
        <v>1.00361080635753</v>
      </c>
    </row>
    <row r="116" spans="1:10" ht="27" customHeight="1" thickBot="1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4.9191501458836521E-3</v>
      </c>
      <c r="F116" s="321">
        <f>STDEV(F108:F113)/F115</f>
        <v>4.919150145880364E-3</v>
      </c>
      <c r="I116" s="167"/>
    </row>
    <row r="117" spans="1:10" ht="27" customHeight="1" thickBot="1">
      <c r="A117" s="373" t="s">
        <v>74</v>
      </c>
      <c r="B117" s="377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>
      <c r="A118" s="375"/>
      <c r="B118" s="378"/>
      <c r="C118" s="167"/>
      <c r="D118" s="167"/>
      <c r="E118" s="167"/>
      <c r="F118" s="225"/>
      <c r="G118" s="167"/>
      <c r="H118" s="167"/>
      <c r="I118" s="167"/>
    </row>
    <row r="119" spans="1:10" ht="18.75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>
      <c r="A120" s="178" t="s">
        <v>102</v>
      </c>
      <c r="B120" s="179" t="s">
        <v>119</v>
      </c>
      <c r="C120" s="379" t="str">
        <f>B20</f>
        <v xml:space="preserve">Tenofovir Disoproxil Fumarate 300mg, Lamivudine 300mg &amp; Efavirenz 600mg </v>
      </c>
      <c r="D120" s="379"/>
      <c r="E120" s="167" t="s">
        <v>120</v>
      </c>
      <c r="F120" s="167"/>
      <c r="G120" s="276">
        <f>F115</f>
        <v>1.00361080635753</v>
      </c>
      <c r="H120" s="167"/>
      <c r="I120" s="167"/>
    </row>
    <row r="121" spans="1:10" ht="19.5" customHeight="1" thickBot="1">
      <c r="A121" s="326"/>
      <c r="B121" s="326"/>
      <c r="C121" s="327"/>
      <c r="D121" s="327"/>
      <c r="E121" s="327"/>
      <c r="F121" s="327"/>
      <c r="G121" s="327"/>
      <c r="H121" s="327"/>
    </row>
    <row r="122" spans="1:10" ht="18.75">
      <c r="B122" s="380" t="s">
        <v>22</v>
      </c>
      <c r="C122" s="380"/>
      <c r="E122" s="279" t="s">
        <v>23</v>
      </c>
      <c r="F122" s="328"/>
      <c r="G122" s="380" t="s">
        <v>24</v>
      </c>
      <c r="H122" s="380"/>
    </row>
    <row r="123" spans="1:10" ht="69.95" customHeight="1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>
      <c r="A250" s="16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 TDF</vt:lpstr>
      <vt:lpstr>Tenofovir Disoproxil Fumarate</vt:lpstr>
      <vt:lpstr>SST lam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2016-09-27T09:56:57Z</cp:lastPrinted>
  <dcterms:created xsi:type="dcterms:W3CDTF">2005-07-05T10:19:27Z</dcterms:created>
  <dcterms:modified xsi:type="dcterms:W3CDTF">2016-09-27T10:04:10Z</dcterms:modified>
</cp:coreProperties>
</file>