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9045" activeTab="1"/>
  </bookViews>
  <sheets>
    <sheet name="SST TDF" sheetId="5" r:id="rId1"/>
    <sheet name="SST lam" sheetId="6" r:id="rId2"/>
    <sheet name="Uniformity" sheetId="2" r:id="rId3"/>
    <sheet name="Tenofovir Disoproxil Fumarate" sheetId="3" r:id="rId4"/>
    <sheet name="Lamivudine" sheetId="4" r:id="rId5"/>
  </sheets>
  <externalReferences>
    <externalReference r:id="rId6"/>
  </externalReferences>
  <definedNames>
    <definedName name="_xlnm.Print_Area" localSheetId="4">Lamivudine!$A$1:$I$124</definedName>
    <definedName name="_xlnm.Print_Area" localSheetId="3">'Tenofovir Disoproxil Fumarate'!$A$1:$I$124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41" i="6" l="1"/>
  <c r="E39" i="6"/>
  <c r="D39" i="6"/>
  <c r="C39" i="6"/>
  <c r="B39" i="6"/>
  <c r="B40" i="6" s="1"/>
  <c r="B29" i="6"/>
  <c r="B30" i="6" s="1"/>
  <c r="B20" i="6"/>
  <c r="B19" i="6"/>
  <c r="B9" i="6"/>
  <c r="B39" i="5"/>
  <c r="E37" i="5"/>
  <c r="D37" i="5"/>
  <c r="C37" i="5"/>
  <c r="B37" i="5"/>
  <c r="B38" i="5" s="1"/>
  <c r="B28" i="5"/>
  <c r="B27" i="5"/>
  <c r="B25" i="5"/>
  <c r="B18" i="5"/>
  <c r="B17" i="5"/>
  <c r="B7" i="5"/>
  <c r="D68" i="4" l="1"/>
  <c r="D64" i="4"/>
  <c r="D60" i="4"/>
  <c r="C120" i="4" l="1"/>
  <c r="B116" i="4"/>
  <c r="D100" i="4" s="1"/>
  <c r="B98" i="4"/>
  <c r="F95" i="4"/>
  <c r="D95" i="4"/>
  <c r="B87" i="4"/>
  <c r="F97" i="4" s="1"/>
  <c r="B83" i="4"/>
  <c r="B80" i="4"/>
  <c r="B79" i="4"/>
  <c r="C76" i="4"/>
  <c r="B68" i="4"/>
  <c r="C56" i="4"/>
  <c r="B55" i="4"/>
  <c r="B45" i="4"/>
  <c r="D48" i="4" s="1"/>
  <c r="D44" i="4"/>
  <c r="F42" i="4"/>
  <c r="D42" i="4"/>
  <c r="B34" i="4"/>
  <c r="F44" i="4" s="1"/>
  <c r="B30" i="4"/>
  <c r="C120" i="3"/>
  <c r="B116" i="3"/>
  <c r="D100" i="3" s="1"/>
  <c r="B98" i="3"/>
  <c r="F95" i="3"/>
  <c r="D95" i="3"/>
  <c r="B87" i="3"/>
  <c r="F97" i="3" s="1"/>
  <c r="B83" i="3"/>
  <c r="B80" i="3"/>
  <c r="B79" i="3"/>
  <c r="C76" i="3"/>
  <c r="B68" i="3"/>
  <c r="C56" i="3"/>
  <c r="B55" i="3"/>
  <c r="B45" i="3"/>
  <c r="D48" i="3" s="1"/>
  <c r="F42" i="3"/>
  <c r="D42" i="3"/>
  <c r="B34" i="3"/>
  <c r="B30" i="3"/>
  <c r="C49" i="2"/>
  <c r="C46" i="2"/>
  <c r="C50" i="2" s="1"/>
  <c r="C45" i="2"/>
  <c r="D43" i="2"/>
  <c r="D41" i="2"/>
  <c r="D39" i="2"/>
  <c r="D37" i="2"/>
  <c r="D35" i="2"/>
  <c r="D33" i="2"/>
  <c r="D31" i="2"/>
  <c r="D29" i="2"/>
  <c r="D27" i="2"/>
  <c r="D25" i="2"/>
  <c r="C19" i="2"/>
  <c r="D26" i="2" l="1"/>
  <c r="D30" i="2"/>
  <c r="D34" i="2"/>
  <c r="D38" i="2"/>
  <c r="D42" i="2"/>
  <c r="B49" i="2"/>
  <c r="D24" i="2"/>
  <c r="D28" i="2"/>
  <c r="D32" i="2"/>
  <c r="D36" i="2"/>
  <c r="D40" i="2"/>
  <c r="D50" i="2"/>
  <c r="I39" i="4"/>
  <c r="D49" i="4"/>
  <c r="D45" i="4"/>
  <c r="E38" i="4" s="1"/>
  <c r="F45" i="4"/>
  <c r="G40" i="4" s="1"/>
  <c r="I39" i="3"/>
  <c r="D49" i="3"/>
  <c r="D44" i="3"/>
  <c r="D45" i="3" s="1"/>
  <c r="F44" i="3"/>
  <c r="F45" i="3" s="1"/>
  <c r="I92" i="4"/>
  <c r="F98" i="4"/>
  <c r="F99" i="4" s="1"/>
  <c r="D101" i="4"/>
  <c r="G93" i="4" s="1"/>
  <c r="I92" i="3"/>
  <c r="D101" i="3"/>
  <c r="E92" i="3" s="1"/>
  <c r="F98" i="3"/>
  <c r="F99" i="3" s="1"/>
  <c r="B69" i="4"/>
  <c r="D49" i="2"/>
  <c r="B57" i="3"/>
  <c r="B69" i="3" s="1"/>
  <c r="B57" i="4"/>
  <c r="D97" i="3"/>
  <c r="D98" i="3" s="1"/>
  <c r="D99" i="3" s="1"/>
  <c r="D97" i="4"/>
  <c r="D98" i="4" s="1"/>
  <c r="D99" i="4" s="1"/>
  <c r="G93" i="3" l="1"/>
  <c r="E40" i="4"/>
  <c r="E39" i="4"/>
  <c r="G41" i="4"/>
  <c r="D46" i="4"/>
  <c r="G39" i="4"/>
  <c r="G38" i="4"/>
  <c r="F46" i="4"/>
  <c r="E41" i="4"/>
  <c r="E39" i="3"/>
  <c r="E40" i="3"/>
  <c r="E38" i="3"/>
  <c r="E41" i="3"/>
  <c r="D46" i="3"/>
  <c r="G39" i="3"/>
  <c r="G41" i="3"/>
  <c r="F46" i="3"/>
  <c r="G38" i="3"/>
  <c r="G40" i="3"/>
  <c r="G92" i="4"/>
  <c r="G91" i="4"/>
  <c r="D102" i="4"/>
  <c r="E94" i="4"/>
  <c r="G94" i="4"/>
  <c r="D102" i="3"/>
  <c r="G94" i="3"/>
  <c r="E91" i="3"/>
  <c r="G91" i="3"/>
  <c r="G92" i="3"/>
  <c r="E93" i="3"/>
  <c r="E94" i="3"/>
  <c r="E91" i="4"/>
  <c r="E93" i="4"/>
  <c r="E92" i="4"/>
  <c r="D52" i="4" l="1"/>
  <c r="G42" i="4"/>
  <c r="E42" i="4"/>
  <c r="D50" i="4"/>
  <c r="G71" i="4" s="1"/>
  <c r="H71" i="4" s="1"/>
  <c r="D50" i="3"/>
  <c r="G68" i="3" s="1"/>
  <c r="H68" i="3" s="1"/>
  <c r="G42" i="3"/>
  <c r="E42" i="3"/>
  <c r="D52" i="3"/>
  <c r="G95" i="4"/>
  <c r="D105" i="3"/>
  <c r="E95" i="3"/>
  <c r="D103" i="3"/>
  <c r="E113" i="3" s="1"/>
  <c r="F113" i="3" s="1"/>
  <c r="G95" i="3"/>
  <c r="E95" i="4"/>
  <c r="D105" i="4"/>
  <c r="D103" i="4"/>
  <c r="G67" i="3"/>
  <c r="H67" i="3" s="1"/>
  <c r="G71" i="3"/>
  <c r="H71" i="3" s="1"/>
  <c r="G69" i="3"/>
  <c r="H69" i="3" s="1"/>
  <c r="G64" i="3"/>
  <c r="H64" i="3" s="1"/>
  <c r="G62" i="3"/>
  <c r="H62" i="3" s="1"/>
  <c r="G60" i="3"/>
  <c r="G70" i="3"/>
  <c r="H70" i="3" s="1"/>
  <c r="G65" i="3"/>
  <c r="H65" i="3" s="1"/>
  <c r="G61" i="3"/>
  <c r="H61" i="3" s="1"/>
  <c r="G63" i="3"/>
  <c r="H63" i="3" s="1"/>
  <c r="G61" i="4" l="1"/>
  <c r="H61" i="4" s="1"/>
  <c r="D51" i="4"/>
  <c r="G60" i="4"/>
  <c r="H60" i="4" s="1"/>
  <c r="G65" i="4"/>
  <c r="H65" i="4" s="1"/>
  <c r="G66" i="4"/>
  <c r="H66" i="4" s="1"/>
  <c r="G68" i="4"/>
  <c r="H68" i="4" s="1"/>
  <c r="G70" i="4"/>
  <c r="H70" i="4" s="1"/>
  <c r="G67" i="4"/>
  <c r="H67" i="4" s="1"/>
  <c r="G69" i="4"/>
  <c r="H69" i="4" s="1"/>
  <c r="G64" i="4"/>
  <c r="H64" i="4" s="1"/>
  <c r="G63" i="4"/>
  <c r="H63" i="4" s="1"/>
  <c r="G62" i="4"/>
  <c r="H62" i="4" s="1"/>
  <c r="D51" i="3"/>
  <c r="G66" i="3"/>
  <c r="H66" i="3" s="1"/>
  <c r="E110" i="3"/>
  <c r="F110" i="3" s="1"/>
  <c r="E111" i="3"/>
  <c r="F111" i="3" s="1"/>
  <c r="E112" i="3"/>
  <c r="F112" i="3" s="1"/>
  <c r="D104" i="3"/>
  <c r="E108" i="3"/>
  <c r="F108" i="3" s="1"/>
  <c r="E109" i="3"/>
  <c r="F109" i="3" s="1"/>
  <c r="H60" i="3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72" i="4" l="1"/>
  <c r="G73" i="4" s="1"/>
  <c r="G74" i="4"/>
  <c r="G72" i="3"/>
  <c r="G73" i="3" s="1"/>
  <c r="G74" i="3"/>
  <c r="E117" i="3"/>
  <c r="E115" i="3"/>
  <c r="E116" i="3" s="1"/>
  <c r="F115" i="3"/>
  <c r="F117" i="3"/>
  <c r="H74" i="3"/>
  <c r="H72" i="3"/>
  <c r="H74" i="4"/>
  <c r="H72" i="4"/>
  <c r="E115" i="4"/>
  <c r="E116" i="4" s="1"/>
  <c r="E117" i="4"/>
  <c r="F108" i="4"/>
  <c r="G76" i="3" l="1"/>
  <c r="H73" i="3"/>
  <c r="G76" i="4"/>
  <c r="H73" i="4"/>
  <c r="F117" i="4"/>
  <c r="F115" i="4"/>
  <c r="G120" i="3"/>
  <c r="F116" i="3"/>
  <c r="G120" i="4" l="1"/>
  <c r="F116" i="4"/>
</calcChain>
</file>

<file path=xl/sharedStrings.xml><?xml version="1.0" encoding="utf-8"?>
<sst xmlns="http://schemas.openxmlformats.org/spreadsheetml/2006/main" count="441" uniqueCount="132">
  <si>
    <t>HPLC System Suitability Report</t>
  </si>
  <si>
    <t>Analysis Data</t>
  </si>
  <si>
    <t>Assay</t>
  </si>
  <si>
    <t>Sample(s)</t>
  </si>
  <si>
    <t>Reference Substance:</t>
  </si>
  <si>
    <t>TENOF0VIR DISOPROXIL FUMARATE/ LAMIVUDINE TABLETS 300 MG/300 MG</t>
  </si>
  <si>
    <t>% age Purity:</t>
  </si>
  <si>
    <t>NDQB201607004</t>
  </si>
  <si>
    <t>Weight (mg):</t>
  </si>
  <si>
    <t xml:space="preserve">TENOFOVIR DISOPROXIL FUMARATE/LAMIVUDINE </t>
  </si>
  <si>
    <t>Standard Conc (mg/mL):</t>
  </si>
  <si>
    <t>Each tablet contains Tenofovir Disoproxil Fumarate 300mg, Lamivudine 300mg</t>
  </si>
  <si>
    <t>2016-07-05 11:27:21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</si>
  <si>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</si>
  <si>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</si>
  <si>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</si>
  <si>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</si>
  <si>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</si>
  <si>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</si>
  <si>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</si>
  <si>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</si>
  <si>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</si>
  <si>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</si>
  <si>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</si>
  <si>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</si>
  <si>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</si>
  <si>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</si>
  <si>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</si>
  <si>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</si>
  <si>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</si>
  <si>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</si>
  <si>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</si>
  <si>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</si>
  <si>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</si>
  <si>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</si>
  <si>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</si>
  <si>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</si>
  <si>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</si>
  <si>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</si>
  <si>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</si>
  <si>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</si>
  <si>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</si>
  <si>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</si>
  <si>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</si>
  <si>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</si>
  <si>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</si>
  <si>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</si>
  <si>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</si>
  <si>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</si>
  <si>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</si>
  <si>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</si>
  <si>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</si>
  <si>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</si>
  <si>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</si>
  <si>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</si>
  <si>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</si>
  <si>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</si>
  <si>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</si>
  <si>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</si>
  <si>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</si>
  <si>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</si>
  <si>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</si>
  <si>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</si>
  <si>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</si>
  <si>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</si>
  <si>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</si>
  <si>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</si>
  <si>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</si>
  <si>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</si>
  <si>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</si>
  <si>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</si>
  <si>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</si>
  <si>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</si>
  <si>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</si>
  <si>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</si>
  <si>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</si>
  <si>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</si>
  <si>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</si>
  <si>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</si>
  <si>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</si>
  <si>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</si>
  <si>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</si>
  <si>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</si>
  <si>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</si>
  <si>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</si>
  <si>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</si>
  <si>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</si>
  <si>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</si>
  <si>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</si>
  <si>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</si>
  <si>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</si>
  <si>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</si>
  <si>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</si>
  <si>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</si>
  <si>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</si>
  <si>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</si>
  <si>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</si>
  <si>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</si>
  <si>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</si>
  <si>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</si>
  <si>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</si>
  <si>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</si>
  <si>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</si>
  <si>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</si>
  <si>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</si>
  <si>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</si>
  <si>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</si>
  <si>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</si>
  <si>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</si>
  <si>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</si>
  <si>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</si>
  <si>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</si>
  <si>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</si>
  <si>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</si>
  <si>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</si>
  <si>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</si>
  <si>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</si>
  <si>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</si>
  <si>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</si>
  <si>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</si>
  <si>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</si>
  <si>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</si>
  <si>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T11-8</t>
  </si>
  <si>
    <t>Lamivudine</t>
  </si>
  <si>
    <t>10M388</t>
  </si>
  <si>
    <t>TENOFOVIR/LAMIVUDINE/EFAVIRENZ 300/300/600 MG</t>
  </si>
  <si>
    <t>Tenofovir DF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</si>
  <si>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</si>
  <si>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</si>
  <si>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</si>
  <si>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RUTTO KENNEDY</t>
  </si>
  <si>
    <t>25/11/2016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</si>
</sst>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u/>
      <sz val="14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24" fillId="2" borderId="0"/>
    <xf numFmtId="0" fontId="24" fillId="2" borderId="0"/>
    <xf numFmtId="0" fontId="23" fillId="2" borderId="0"/>
    <xf numFmtId="0" fontId="24" fillId="2" borderId="0"/>
    <xf numFmtId="0" fontId="23" fillId="2" borderId="0"/>
    <xf numFmtId="0" fontId="24" fillId="2" borderId="0"/>
    <xf numFmtId="0" fontId="23" fillId="2" borderId="0"/>
    <xf numFmtId="0" fontId="23" fillId="2" borderId="0"/>
    <xf numFmtId="0" fontId="23" fillId="2" borderId="0"/>
    <xf numFmtId="0" fontId="23" fillId="2" borderId="0"/>
  </cellStyleXfs>
  <cellXfs count="55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7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2" fontId="12" fillId="7" borderId="27" xfId="0" applyNumberFormat="1" applyFont="1" applyFill="1" applyBorder="1" applyAlignment="1">
      <alignment horizontal="center"/>
    </xf>
    <xf numFmtId="0" fontId="13" fillId="2" borderId="0" xfId="0" applyFont="1" applyFill="1"/>
    <xf numFmtId="0" fontId="26" fillId="2" borderId="0" xfId="1" applyFont="1" applyFill="1"/>
    <xf numFmtId="0" fontId="27" fillId="2" borderId="0" xfId="1" applyFont="1" applyFill="1"/>
    <xf numFmtId="0" fontId="27" fillId="2" borderId="0" xfId="1" applyFont="1" applyFill="1" applyAlignment="1">
      <alignment horizontal="left"/>
    </xf>
    <xf numFmtId="0" fontId="28" fillId="2" borderId="0" xfId="1" applyFont="1" applyFill="1" applyAlignment="1">
      <alignment horizontal="left"/>
    </xf>
    <xf numFmtId="0" fontId="28" fillId="2" borderId="0" xfId="1" applyFont="1" applyFill="1" applyAlignment="1">
      <alignment horizontal="center"/>
    </xf>
    <xf numFmtId="0" fontId="29" fillId="2" borderId="0" xfId="1" applyFont="1" applyFill="1"/>
    <xf numFmtId="0" fontId="28" fillId="2" borderId="0" xfId="1" applyFont="1" applyFill="1"/>
    <xf numFmtId="2" fontId="28" fillId="2" borderId="0" xfId="1" applyNumberFormat="1" applyFont="1" applyFill="1" applyAlignment="1">
      <alignment horizontal="center"/>
    </xf>
    <xf numFmtId="0" fontId="28" fillId="2" borderId="0" xfId="1" applyFont="1" applyFill="1" applyAlignment="1">
      <alignment horizontal="center" vertical="top"/>
    </xf>
    <xf numFmtId="164" fontId="28" fillId="2" borderId="0" xfId="1" applyNumberFormat="1" applyFont="1" applyFill="1" applyAlignment="1">
      <alignment horizontal="center"/>
    </xf>
    <xf numFmtId="22" fontId="29" fillId="2" borderId="0" xfId="1" applyNumberFormat="1" applyFont="1" applyFill="1"/>
    <xf numFmtId="0" fontId="28" fillId="2" borderId="1" xfId="1" applyFont="1" applyFill="1" applyBorder="1" applyAlignment="1">
      <alignment horizontal="center"/>
    </xf>
    <xf numFmtId="0" fontId="28" fillId="2" borderId="2" xfId="1" applyFont="1" applyFill="1" applyBorder="1" applyAlignment="1">
      <alignment horizontal="center"/>
    </xf>
    <xf numFmtId="0" fontId="29" fillId="2" borderId="3" xfId="1" applyFont="1" applyFill="1" applyBorder="1" applyAlignment="1">
      <alignment horizontal="center"/>
    </xf>
    <xf numFmtId="0" fontId="30" fillId="3" borderId="3" xfId="1" applyFont="1" applyFill="1" applyBorder="1" applyAlignment="1" applyProtection="1">
      <alignment horizontal="center"/>
      <protection locked="0"/>
    </xf>
    <xf numFmtId="2" fontId="30" fillId="3" borderId="3" xfId="1" applyNumberFormat="1" applyFont="1" applyFill="1" applyBorder="1" applyAlignment="1" applyProtection="1">
      <alignment horizontal="center"/>
      <protection locked="0"/>
    </xf>
    <xf numFmtId="2" fontId="30" fillId="3" borderId="4" xfId="1" applyNumberFormat="1" applyFont="1" applyFill="1" applyBorder="1" applyAlignment="1" applyProtection="1">
      <alignment horizontal="center"/>
      <protection locked="0"/>
    </xf>
    <xf numFmtId="0" fontId="30" fillId="3" borderId="5" xfId="1" applyFont="1" applyFill="1" applyBorder="1" applyAlignment="1" applyProtection="1">
      <alignment horizontal="center"/>
      <protection locked="0"/>
    </xf>
    <xf numFmtId="2" fontId="30" fillId="3" borderId="5" xfId="1" applyNumberFormat="1" applyFont="1" applyFill="1" applyBorder="1" applyAlignment="1" applyProtection="1">
      <alignment horizontal="center"/>
      <protection locked="0"/>
    </xf>
    <xf numFmtId="0" fontId="29" fillId="2" borderId="4" xfId="1" applyFont="1" applyFill="1" applyBorder="1"/>
    <xf numFmtId="1" fontId="28" fillId="4" borderId="2" xfId="1" applyNumberFormat="1" applyFont="1" applyFill="1" applyBorder="1" applyAlignment="1">
      <alignment horizontal="center"/>
    </xf>
    <xf numFmtId="1" fontId="28" fillId="4" borderId="1" xfId="1" applyNumberFormat="1" applyFont="1" applyFill="1" applyBorder="1" applyAlignment="1">
      <alignment horizontal="center"/>
    </xf>
    <xf numFmtId="2" fontId="28" fillId="4" borderId="1" xfId="1" applyNumberFormat="1" applyFont="1" applyFill="1" applyBorder="1" applyAlignment="1">
      <alignment horizontal="center"/>
    </xf>
    <xf numFmtId="0" fontId="29" fillId="2" borderId="3" xfId="1" applyFont="1" applyFill="1" applyBorder="1"/>
    <xf numFmtId="10" fontId="28" fillId="5" borderId="1" xfId="1" applyNumberFormat="1" applyFont="1" applyFill="1" applyBorder="1" applyAlignment="1">
      <alignment horizontal="center"/>
    </xf>
    <xf numFmtId="165" fontId="28" fillId="2" borderId="0" xfId="1" applyNumberFormat="1" applyFont="1" applyFill="1" applyAlignment="1">
      <alignment horizontal="center"/>
    </xf>
    <xf numFmtId="0" fontId="29" fillId="2" borderId="6" xfId="1" applyFont="1" applyFill="1" applyBorder="1"/>
    <xf numFmtId="0" fontId="29" fillId="2" borderId="5" xfId="1" applyFont="1" applyFill="1" applyBorder="1"/>
    <xf numFmtId="0" fontId="28" fillId="4" borderId="1" xfId="1" applyFont="1" applyFill="1" applyBorder="1" applyAlignment="1">
      <alignment horizontal="center"/>
    </xf>
    <xf numFmtId="0" fontId="28" fillId="2" borderId="7" xfId="1" applyFont="1" applyFill="1" applyBorder="1" applyAlignment="1">
      <alignment horizontal="center"/>
    </xf>
    <xf numFmtId="0" fontId="29" fillId="2" borderId="7" xfId="1" applyFont="1" applyFill="1" applyBorder="1"/>
    <xf numFmtId="0" fontId="29" fillId="2" borderId="8" xfId="1" applyFont="1" applyFill="1" applyBorder="1"/>
    <xf numFmtId="0" fontId="29" fillId="2" borderId="0" xfId="1" applyFont="1" applyFill="1" applyAlignment="1" applyProtection="1">
      <alignment horizontal="left"/>
      <protection locked="0"/>
    </xf>
    <xf numFmtId="0" fontId="29" fillId="2" borderId="0" xfId="1" applyFont="1" applyFill="1" applyProtection="1">
      <protection locked="0"/>
    </xf>
    <xf numFmtId="2" fontId="28" fillId="2" borderId="0" xfId="1" applyNumberFormat="1" applyFont="1" applyFill="1" applyAlignment="1">
      <alignment horizontal="left"/>
    </xf>
    <xf numFmtId="0" fontId="26" fillId="2" borderId="9" xfId="1" applyFont="1" applyFill="1" applyBorder="1"/>
    <xf numFmtId="0" fontId="26" fillId="2" borderId="0" xfId="1" applyFont="1" applyFill="1" applyAlignment="1">
      <alignment horizontal="center"/>
    </xf>
    <xf numFmtId="10" fontId="26" fillId="2" borderId="9" xfId="1" applyNumberFormat="1" applyFont="1" applyFill="1" applyBorder="1"/>
    <xf numFmtId="0" fontId="24" fillId="2" borderId="0" xfId="1" applyFill="1"/>
    <xf numFmtId="0" fontId="31" fillId="2" borderId="1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/>
    </xf>
    <xf numFmtId="0" fontId="31" fillId="2" borderId="0" xfId="1" applyFont="1" applyFill="1" applyAlignment="1">
      <alignment horizontal="right"/>
    </xf>
    <xf numFmtId="0" fontId="26" fillId="2" borderId="7" xfId="1" applyFont="1" applyFill="1" applyBorder="1"/>
    <xf numFmtId="0" fontId="31" fillId="2" borderId="11" xfId="1" applyFont="1" applyFill="1" applyBorder="1"/>
    <xf numFmtId="0" fontId="26" fillId="2" borderId="11" xfId="1" applyFont="1" applyFill="1" applyBorder="1"/>
    <xf numFmtId="0" fontId="26" fillId="2" borderId="0" xfId="6" applyFont="1" applyFill="1"/>
    <xf numFmtId="0" fontId="27" fillId="2" borderId="0" xfId="6" applyFont="1" applyFill="1"/>
    <xf numFmtId="0" fontId="27" fillId="2" borderId="0" xfId="6" applyFont="1" applyFill="1" applyAlignment="1">
      <alignment horizontal="left"/>
    </xf>
    <xf numFmtId="0" fontId="28" fillId="2" borderId="0" xfId="6" applyFont="1" applyFill="1" applyAlignment="1">
      <alignment horizontal="left"/>
    </xf>
    <xf numFmtId="0" fontId="28" fillId="2" borderId="0" xfId="6" applyFont="1" applyFill="1" applyAlignment="1">
      <alignment horizontal="center"/>
    </xf>
    <xf numFmtId="0" fontId="29" fillId="2" borderId="0" xfId="6" applyFont="1" applyFill="1"/>
    <xf numFmtId="0" fontId="28" fillId="2" borderId="0" xfId="6" applyFont="1" applyFill="1"/>
    <xf numFmtId="2" fontId="28" fillId="2" borderId="0" xfId="6" applyNumberFormat="1" applyFont="1" applyFill="1" applyAlignment="1">
      <alignment horizontal="center"/>
    </xf>
    <xf numFmtId="164" fontId="28" fillId="2" borderId="0" xfId="6" applyNumberFormat="1" applyFont="1" applyFill="1" applyAlignment="1">
      <alignment horizontal="center"/>
    </xf>
    <xf numFmtId="22" fontId="29" fillId="2" borderId="0" xfId="6" applyNumberFormat="1" applyFont="1" applyFill="1"/>
    <xf numFmtId="0" fontId="28" fillId="2" borderId="1" xfId="6" applyFont="1" applyFill="1" applyBorder="1" applyAlignment="1">
      <alignment horizontal="center"/>
    </xf>
    <xf numFmtId="0" fontId="28" fillId="2" borderId="2" xfId="6" applyFont="1" applyFill="1" applyBorder="1" applyAlignment="1">
      <alignment horizontal="center"/>
    </xf>
    <xf numFmtId="0" fontId="29" fillId="2" borderId="3" xfId="6" applyFont="1" applyFill="1" applyBorder="1" applyAlignment="1">
      <alignment horizontal="center"/>
    </xf>
    <xf numFmtId="0" fontId="30" fillId="3" borderId="3" xfId="6" applyFont="1" applyFill="1" applyBorder="1" applyAlignment="1" applyProtection="1">
      <alignment horizontal="center"/>
      <protection locked="0"/>
    </xf>
    <xf numFmtId="2" fontId="30" fillId="3" borderId="3" xfId="6" applyNumberFormat="1" applyFont="1" applyFill="1" applyBorder="1" applyAlignment="1" applyProtection="1">
      <alignment horizontal="center"/>
      <protection locked="0"/>
    </xf>
    <xf numFmtId="2" fontId="30" fillId="3" borderId="4" xfId="6" applyNumberFormat="1" applyFont="1" applyFill="1" applyBorder="1" applyAlignment="1" applyProtection="1">
      <alignment horizontal="center"/>
      <protection locked="0"/>
    </xf>
    <xf numFmtId="0" fontId="30" fillId="3" borderId="5" xfId="6" applyFont="1" applyFill="1" applyBorder="1" applyAlignment="1" applyProtection="1">
      <alignment horizontal="center"/>
      <protection locked="0"/>
    </xf>
    <xf numFmtId="2" fontId="30" fillId="3" borderId="5" xfId="6" applyNumberFormat="1" applyFont="1" applyFill="1" applyBorder="1" applyAlignment="1" applyProtection="1">
      <alignment horizontal="center"/>
      <protection locked="0"/>
    </xf>
    <xf numFmtId="0" fontId="29" fillId="2" borderId="4" xfId="6" applyFont="1" applyFill="1" applyBorder="1"/>
    <xf numFmtId="1" fontId="28" fillId="4" borderId="2" xfId="6" applyNumberFormat="1" applyFont="1" applyFill="1" applyBorder="1" applyAlignment="1">
      <alignment horizontal="center"/>
    </xf>
    <xf numFmtId="1" fontId="28" fillId="4" borderId="1" xfId="6" applyNumberFormat="1" applyFont="1" applyFill="1" applyBorder="1" applyAlignment="1">
      <alignment horizontal="center"/>
    </xf>
    <xf numFmtId="2" fontId="28" fillId="4" borderId="1" xfId="6" applyNumberFormat="1" applyFont="1" applyFill="1" applyBorder="1" applyAlignment="1">
      <alignment horizontal="center"/>
    </xf>
    <xf numFmtId="0" fontId="29" fillId="2" borderId="3" xfId="6" applyFont="1" applyFill="1" applyBorder="1"/>
    <xf numFmtId="10" fontId="28" fillId="5" borderId="1" xfId="6" applyNumberFormat="1" applyFont="1" applyFill="1" applyBorder="1" applyAlignment="1">
      <alignment horizontal="center"/>
    </xf>
    <xf numFmtId="165" fontId="28" fillId="2" borderId="0" xfId="6" applyNumberFormat="1" applyFont="1" applyFill="1" applyAlignment="1">
      <alignment horizontal="center"/>
    </xf>
    <xf numFmtId="0" fontId="29" fillId="2" borderId="6" xfId="6" applyFont="1" applyFill="1" applyBorder="1"/>
    <xf numFmtId="0" fontId="29" fillId="2" borderId="5" xfId="6" applyFont="1" applyFill="1" applyBorder="1"/>
    <xf numFmtId="0" fontId="28" fillId="4" borderId="1" xfId="6" applyFont="1" applyFill="1" applyBorder="1" applyAlignment="1">
      <alignment horizontal="center"/>
    </xf>
    <xf numFmtId="0" fontId="28" fillId="2" borderId="7" xfId="6" applyFont="1" applyFill="1" applyBorder="1" applyAlignment="1">
      <alignment horizontal="center"/>
    </xf>
    <xf numFmtId="0" fontId="29" fillId="2" borderId="7" xfId="6" applyFont="1" applyFill="1" applyBorder="1"/>
    <xf numFmtId="0" fontId="29" fillId="2" borderId="8" xfId="6" applyFont="1" applyFill="1" applyBorder="1"/>
    <xf numFmtId="0" fontId="29" fillId="2" borderId="0" xfId="6" applyFont="1" applyFill="1" applyAlignment="1" applyProtection="1">
      <alignment horizontal="left"/>
      <protection locked="0"/>
    </xf>
    <xf numFmtId="0" fontId="29" fillId="2" borderId="0" xfId="6" applyFont="1" applyFill="1" applyProtection="1">
      <protection locked="0"/>
    </xf>
    <xf numFmtId="0" fontId="26" fillId="2" borderId="9" xfId="6" applyFont="1" applyFill="1" applyBorder="1"/>
    <xf numFmtId="0" fontId="26" fillId="2" borderId="0" xfId="6" applyFont="1" applyFill="1" applyAlignment="1">
      <alignment horizontal="center"/>
    </xf>
    <xf numFmtId="10" fontId="26" fillId="2" borderId="9" xfId="6" applyNumberFormat="1" applyFont="1" applyFill="1" applyBorder="1"/>
    <xf numFmtId="0" fontId="24" fillId="2" borderId="0" xfId="6" applyFill="1"/>
    <xf numFmtId="0" fontId="31" fillId="2" borderId="10" xfId="6" applyFont="1" applyFill="1" applyBorder="1" applyAlignment="1">
      <alignment horizontal="center"/>
    </xf>
    <xf numFmtId="0" fontId="26" fillId="2" borderId="10" xfId="6" applyFont="1" applyFill="1" applyBorder="1" applyAlignment="1">
      <alignment horizontal="center"/>
    </xf>
    <xf numFmtId="0" fontId="31" fillId="2" borderId="0" xfId="6" applyFont="1" applyFill="1" applyAlignment="1">
      <alignment horizontal="right"/>
    </xf>
    <xf numFmtId="0" fontId="26" fillId="2" borderId="7" xfId="6" applyFont="1" applyFill="1" applyBorder="1"/>
    <xf numFmtId="0" fontId="31" fillId="2" borderId="11" xfId="6" applyFont="1" applyFill="1" applyBorder="1"/>
    <xf numFmtId="0" fontId="26" fillId="2" borderId="11" xfId="6" applyFont="1" applyFill="1" applyBorder="1"/>
    <xf numFmtId="173" fontId="30" fillId="3" borderId="3" xfId="1" applyNumberFormat="1" applyFont="1" applyFill="1" applyBorder="1" applyAlignment="1" applyProtection="1">
      <alignment horizontal="center"/>
      <protection locked="0"/>
    </xf>
    <xf numFmtId="0" fontId="25" fillId="2" borderId="0" xfId="1" applyFont="1" applyFill="1" applyAlignment="1">
      <alignment horizontal="center"/>
    </xf>
    <xf numFmtId="0" fontId="31" fillId="2" borderId="10" xfId="1" applyFont="1" applyFill="1" applyBorder="1" applyAlignment="1">
      <alignment horizontal="center"/>
    </xf>
    <xf numFmtId="0" fontId="25" fillId="2" borderId="0" xfId="6" applyFont="1" applyFill="1" applyAlignment="1">
      <alignment horizontal="center"/>
    </xf>
    <xf numFmtId="0" fontId="31" fillId="2" borderId="10" xfId="6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2"/>
    <cellStyle name="Normal 3" xfId="3"/>
    <cellStyle name="Normal 3 2" xfId="4"/>
    <cellStyle name="Normal 4" xfId="5"/>
    <cellStyle name="Normal 4 2" xfId="6"/>
    <cellStyle name="Normal 5" xfId="7"/>
    <cellStyle name="Normal 6" xfId="8"/>
    <cellStyle name="Normal 7" xfId="9"/>
    <cellStyle name="Normal 7 2" xfId="1"/>
    <cellStyle name="Normal 8" xfId="1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%202016/SEPTEMBER/NDQB201607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"/>
      <sheetName val="SST TDF"/>
      <sheetName val="Tenofovir Disoproxil Fumarate"/>
      <sheetName val="SST lam"/>
      <sheetName val="Lamivudine"/>
    </sheetNames>
    <sheetDataSet>
      <sheetData sheetId="0"/>
      <sheetData sheetId="1"/>
      <sheetData sheetId="2">
        <row r="96">
          <cell r="D96">
            <v>14.37</v>
          </cell>
        </row>
      </sheetData>
      <sheetData sheetId="3"/>
      <sheetData sheetId="4">
        <row r="96">
          <cell r="D96">
            <v>14.64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topLeftCell="A13" zoomScale="70" zoomScaleSheetLayoutView="70" workbookViewId="0">
      <selection activeCell="E47" sqref="E47"/>
    </sheetView>
  </sheetViews>
  <sheetFormatPr defaultRowHeight="13.5" x14ac:dyDescent="0.25"/>
  <cols>
    <col min="1" max="1" width="27.5703125" style="415" customWidth="1"/>
    <col min="2" max="2" width="20.42578125" style="415" customWidth="1"/>
    <col min="3" max="3" width="31.85546875" style="415" customWidth="1"/>
    <col min="4" max="4" width="25.85546875" style="415" customWidth="1"/>
    <col min="5" max="5" width="25.7109375" style="415" customWidth="1"/>
    <col min="6" max="6" width="23.140625" style="415" customWidth="1"/>
    <col min="7" max="7" width="28.42578125" style="415" customWidth="1"/>
    <col min="8" max="8" width="21.5703125" style="415" customWidth="1"/>
    <col min="9" max="9" width="9.140625" style="415" customWidth="1"/>
    <col min="10" max="16384" width="9.140625" style="453"/>
  </cols>
  <sheetData>
    <row r="1" spans="1:5" ht="18.75" customHeight="1" x14ac:dyDescent="0.3">
      <c r="A1" s="504" t="s">
        <v>0</v>
      </c>
      <c r="B1" s="504"/>
      <c r="C1" s="504"/>
      <c r="D1" s="504"/>
      <c r="E1" s="504"/>
    </row>
    <row r="2" spans="1:5" ht="16.5" customHeight="1" x14ac:dyDescent="0.3">
      <c r="A2" s="416" t="s">
        <v>1</v>
      </c>
      <c r="B2" s="417" t="s">
        <v>2</v>
      </c>
    </row>
    <row r="3" spans="1:5" ht="16.5" customHeight="1" x14ac:dyDescent="0.3">
      <c r="A3" s="418" t="s">
        <v>3</v>
      </c>
      <c r="B3" s="418" t="s">
        <v>125</v>
      </c>
      <c r="D3" s="419"/>
      <c r="E3" s="420"/>
    </row>
    <row r="4" spans="1:5" ht="16.5" customHeight="1" x14ac:dyDescent="0.3">
      <c r="A4" s="421" t="s">
        <v>4</v>
      </c>
      <c r="B4" s="422" t="s">
        <v>126</v>
      </c>
      <c r="C4" s="420"/>
      <c r="D4" s="420"/>
      <c r="E4" s="420"/>
    </row>
    <row r="5" spans="1:5" ht="16.5" customHeight="1" x14ac:dyDescent="0.3">
      <c r="A5" s="421" t="s">
        <v>6</v>
      </c>
      <c r="B5" s="423">
        <v>98.8</v>
      </c>
      <c r="C5" s="420"/>
      <c r="D5" s="420"/>
      <c r="E5" s="420"/>
    </row>
    <row r="6" spans="1:5" ht="16.5" customHeight="1" x14ac:dyDescent="0.3">
      <c r="A6" s="418" t="s">
        <v>8</v>
      </c>
      <c r="B6" s="422">
        <v>13.98</v>
      </c>
      <c r="C6" s="420"/>
      <c r="D6" s="420"/>
      <c r="E6" s="420"/>
    </row>
    <row r="7" spans="1:5" ht="16.5" customHeight="1" x14ac:dyDescent="0.3">
      <c r="A7" s="418" t="s">
        <v>10</v>
      </c>
      <c r="B7" s="424">
        <f>B6/50*10/25</f>
        <v>0.11184000000000001</v>
      </c>
      <c r="C7" s="420"/>
      <c r="D7" s="420"/>
      <c r="E7" s="420"/>
    </row>
    <row r="8" spans="1:5" ht="15.75" customHeight="1" x14ac:dyDescent="0.25">
      <c r="A8" s="420"/>
      <c r="B8" s="425"/>
      <c r="C8" s="420"/>
      <c r="D8" s="420"/>
      <c r="E8" s="420"/>
    </row>
    <row r="9" spans="1:5" ht="16.5" customHeight="1" x14ac:dyDescent="0.3">
      <c r="A9" s="426" t="s">
        <v>13</v>
      </c>
      <c r="B9" s="427" t="s">
        <v>14</v>
      </c>
      <c r="C9" s="426" t="s">
        <v>15</v>
      </c>
      <c r="D9" s="426" t="s">
        <v>16</v>
      </c>
      <c r="E9" s="426" t="s">
        <v>17</v>
      </c>
    </row>
    <row r="10" spans="1:5" ht="16.5" customHeight="1" x14ac:dyDescent="0.3">
      <c r="A10" s="428">
        <v>1</v>
      </c>
      <c r="B10" s="429">
        <v>25745894</v>
      </c>
      <c r="C10" s="429">
        <v>119507.5</v>
      </c>
      <c r="D10" s="430">
        <v>1.1000000000000001</v>
      </c>
      <c r="E10" s="431">
        <v>6.7</v>
      </c>
    </row>
    <row r="11" spans="1:5" ht="16.5" customHeight="1" x14ac:dyDescent="0.3">
      <c r="A11" s="428">
        <v>2</v>
      </c>
      <c r="B11" s="429">
        <v>25698532</v>
      </c>
      <c r="C11" s="429">
        <v>119634.1</v>
      </c>
      <c r="D11" s="430">
        <v>1.2</v>
      </c>
      <c r="E11" s="430">
        <v>6.7</v>
      </c>
    </row>
    <row r="12" spans="1:5" ht="16.5" customHeight="1" x14ac:dyDescent="0.3">
      <c r="A12" s="428">
        <v>3</v>
      </c>
      <c r="B12" s="429">
        <v>25806823</v>
      </c>
      <c r="C12" s="429">
        <v>120380.1</v>
      </c>
      <c r="D12" s="430">
        <v>1.1000000000000001</v>
      </c>
      <c r="E12" s="430">
        <v>6.7</v>
      </c>
    </row>
    <row r="13" spans="1:5" ht="16.5" customHeight="1" x14ac:dyDescent="0.3">
      <c r="A13" s="428">
        <v>4</v>
      </c>
      <c r="B13" s="429">
        <v>25741654</v>
      </c>
      <c r="C13" s="429">
        <v>120678.7</v>
      </c>
      <c r="D13" s="430">
        <v>1.1000000000000001</v>
      </c>
      <c r="E13" s="430">
        <v>6.7</v>
      </c>
    </row>
    <row r="14" spans="1:5" ht="16.5" customHeight="1" x14ac:dyDescent="0.3">
      <c r="A14" s="428">
        <v>5</v>
      </c>
      <c r="B14" s="429">
        <v>25793136</v>
      </c>
      <c r="C14" s="503">
        <v>120418</v>
      </c>
      <c r="D14" s="430">
        <v>1.1000000000000001</v>
      </c>
      <c r="E14" s="430">
        <v>6.7</v>
      </c>
    </row>
    <row r="15" spans="1:5" ht="16.5" customHeight="1" x14ac:dyDescent="0.3">
      <c r="A15" s="428">
        <v>6</v>
      </c>
      <c r="B15" s="432">
        <v>25748008</v>
      </c>
      <c r="C15" s="432">
        <v>120762.6</v>
      </c>
      <c r="D15" s="433">
        <v>1.1000000000000001</v>
      </c>
      <c r="E15" s="433">
        <v>6.7</v>
      </c>
    </row>
    <row r="16" spans="1:5" ht="16.5" customHeight="1" x14ac:dyDescent="0.3">
      <c r="A16" s="434" t="s">
        <v>18</v>
      </c>
      <c r="B16" s="435">
        <v>25755674.5</v>
      </c>
      <c r="C16" s="436">
        <v>120230.1667</v>
      </c>
      <c r="D16" s="437">
        <v>1.1000000000000001</v>
      </c>
      <c r="E16" s="437">
        <v>6.7</v>
      </c>
    </row>
    <row r="17" spans="1:5" ht="16.5" customHeight="1" x14ac:dyDescent="0.3">
      <c r="A17" s="438" t="s">
        <v>19</v>
      </c>
      <c r="B17" s="439">
        <f>(STDEV(B10:B15)/B16)</f>
        <v>1.5172932214038131E-3</v>
      </c>
      <c r="C17" s="440"/>
      <c r="D17" s="440"/>
      <c r="E17" s="441"/>
    </row>
    <row r="18" spans="1:5" s="415" customFormat="1" ht="16.5" customHeight="1" x14ac:dyDescent="0.3">
      <c r="A18" s="442" t="s">
        <v>20</v>
      </c>
      <c r="B18" s="443">
        <f>COUNT(B10:B15)</f>
        <v>6</v>
      </c>
      <c r="C18" s="444"/>
      <c r="D18" s="445"/>
      <c r="E18" s="446"/>
    </row>
    <row r="19" spans="1:5" s="415" customFormat="1" ht="15.75" customHeight="1" x14ac:dyDescent="0.25">
      <c r="A19" s="420"/>
      <c r="B19" s="420"/>
      <c r="C19" s="420"/>
      <c r="D19" s="420"/>
      <c r="E19" s="420"/>
    </row>
    <row r="20" spans="1:5" s="415" customFormat="1" ht="16.5" customHeight="1" x14ac:dyDescent="0.3">
      <c r="A20" s="421" t="s">
        <v>21</v>
      </c>
      <c r="B20" s="447" t="s">
        <v>127</v>
      </c>
      <c r="C20" s="448"/>
      <c r="D20" s="448"/>
      <c r="E20" s="448"/>
    </row>
    <row r="21" spans="1:5" ht="16.5" customHeight="1" x14ac:dyDescent="0.3">
      <c r="A21" s="421"/>
      <c r="B21" s="447" t="s">
        <v>128</v>
      </c>
      <c r="C21" s="448"/>
      <c r="D21" s="448"/>
      <c r="E21" s="448"/>
    </row>
    <row r="22" spans="1:5" ht="16.5" customHeight="1" x14ac:dyDescent="0.3">
      <c r="A22" s="421"/>
      <c r="B22" s="447" t="s">
        <v>129</v>
      </c>
      <c r="C22" s="448"/>
      <c r="D22" s="448"/>
      <c r="E22" s="448"/>
    </row>
    <row r="23" spans="1:5" ht="15.75" customHeight="1" x14ac:dyDescent="0.25">
      <c r="A23" s="420"/>
      <c r="B23" s="420"/>
      <c r="C23" s="420"/>
      <c r="D23" s="420"/>
      <c r="E23" s="420"/>
    </row>
    <row r="24" spans="1:5" ht="16.5" customHeight="1" x14ac:dyDescent="0.3">
      <c r="A24" s="416" t="s">
        <v>1</v>
      </c>
      <c r="B24" s="417" t="s">
        <v>22</v>
      </c>
    </row>
    <row r="25" spans="1:5" ht="16.5" customHeight="1" x14ac:dyDescent="0.3">
      <c r="A25" s="421" t="s">
        <v>4</v>
      </c>
      <c r="B25" s="449" t="str">
        <f>B4</f>
        <v>Tenofovir DF</v>
      </c>
      <c r="C25" s="420"/>
      <c r="D25" s="420"/>
      <c r="E25" s="420"/>
    </row>
    <row r="26" spans="1:5" ht="16.5" customHeight="1" x14ac:dyDescent="0.3">
      <c r="A26" s="421" t="s">
        <v>6</v>
      </c>
      <c r="B26" s="422">
        <v>98.8</v>
      </c>
      <c r="C26" s="420"/>
      <c r="D26" s="420"/>
      <c r="E26" s="420"/>
    </row>
    <row r="27" spans="1:5" ht="16.5" customHeight="1" x14ac:dyDescent="0.3">
      <c r="A27" s="418" t="s">
        <v>8</v>
      </c>
      <c r="B27" s="422">
        <f>'[1]Tenofovir Disoproxil Fumarate'!D96</f>
        <v>14.37</v>
      </c>
      <c r="C27" s="420"/>
      <c r="D27" s="420"/>
      <c r="E27" s="420"/>
    </row>
    <row r="28" spans="1:5" ht="16.5" customHeight="1" x14ac:dyDescent="0.3">
      <c r="A28" s="418" t="s">
        <v>10</v>
      </c>
      <c r="B28" s="424">
        <f>B27/50</f>
        <v>0.28739999999999999</v>
      </c>
      <c r="C28" s="420"/>
      <c r="D28" s="420"/>
      <c r="E28" s="420"/>
    </row>
    <row r="29" spans="1:5" ht="15.75" customHeight="1" x14ac:dyDescent="0.25">
      <c r="A29" s="420"/>
      <c r="B29" s="420"/>
      <c r="C29" s="420"/>
      <c r="D29" s="420"/>
      <c r="E29" s="420"/>
    </row>
    <row r="30" spans="1:5" ht="16.5" customHeight="1" x14ac:dyDescent="0.3">
      <c r="A30" s="426" t="s">
        <v>13</v>
      </c>
      <c r="B30" s="427" t="s">
        <v>14</v>
      </c>
      <c r="C30" s="426" t="s">
        <v>15</v>
      </c>
      <c r="D30" s="426" t="s">
        <v>16</v>
      </c>
      <c r="E30" s="426" t="s">
        <v>17</v>
      </c>
    </row>
    <row r="31" spans="1:5" ht="16.5" customHeight="1" x14ac:dyDescent="0.3">
      <c r="A31" s="428">
        <v>1</v>
      </c>
      <c r="B31" s="429">
        <v>70309229</v>
      </c>
      <c r="C31" s="429">
        <v>101747.3</v>
      </c>
      <c r="D31" s="430">
        <v>1.2</v>
      </c>
      <c r="E31" s="431">
        <v>17.03</v>
      </c>
    </row>
    <row r="32" spans="1:5" ht="16.5" customHeight="1" x14ac:dyDescent="0.3">
      <c r="A32" s="428">
        <v>2</v>
      </c>
      <c r="B32" s="429">
        <v>70157702</v>
      </c>
      <c r="C32" s="429">
        <v>103160</v>
      </c>
      <c r="D32" s="430">
        <v>1.2</v>
      </c>
      <c r="E32" s="430">
        <v>17.04</v>
      </c>
    </row>
    <row r="33" spans="1:7" ht="16.5" customHeight="1" x14ac:dyDescent="0.3">
      <c r="A33" s="428">
        <v>3</v>
      </c>
      <c r="B33" s="429">
        <v>69877450</v>
      </c>
      <c r="C33" s="429">
        <v>98949.5</v>
      </c>
      <c r="D33" s="430">
        <v>1.2</v>
      </c>
      <c r="E33" s="430">
        <v>17.04</v>
      </c>
    </row>
    <row r="34" spans="1:7" ht="16.5" customHeight="1" x14ac:dyDescent="0.3">
      <c r="A34" s="428">
        <v>4</v>
      </c>
      <c r="B34" s="429">
        <v>70180573</v>
      </c>
      <c r="C34" s="429">
        <v>99129.1</v>
      </c>
      <c r="D34" s="430">
        <v>1.2</v>
      </c>
      <c r="E34" s="430">
        <v>17.04</v>
      </c>
    </row>
    <row r="35" spans="1:7" ht="16.5" customHeight="1" x14ac:dyDescent="0.3">
      <c r="A35" s="428">
        <v>5</v>
      </c>
      <c r="B35" s="429">
        <v>70297651</v>
      </c>
      <c r="C35" s="429">
        <v>100492.5</v>
      </c>
      <c r="D35" s="430">
        <v>1.2</v>
      </c>
      <c r="E35" s="430">
        <v>17.04</v>
      </c>
    </row>
    <row r="36" spans="1:7" ht="16.5" customHeight="1" x14ac:dyDescent="0.3">
      <c r="A36" s="428">
        <v>6</v>
      </c>
      <c r="B36" s="432">
        <v>70246833</v>
      </c>
      <c r="C36" s="432">
        <v>101960.9</v>
      </c>
      <c r="D36" s="433">
        <v>1.2</v>
      </c>
      <c r="E36" s="433">
        <v>17.03</v>
      </c>
    </row>
    <row r="37" spans="1:7" ht="16.5" customHeight="1" x14ac:dyDescent="0.3">
      <c r="A37" s="434" t="s">
        <v>18</v>
      </c>
      <c r="B37" s="435">
        <f>AVERAGE(B31:B36)</f>
        <v>70178239.666666672</v>
      </c>
      <c r="C37" s="436">
        <f>AVERAGE(C31:C36)</f>
        <v>100906.55</v>
      </c>
      <c r="D37" s="437">
        <f>AVERAGE(D31:D36)</f>
        <v>1.2</v>
      </c>
      <c r="E37" s="437">
        <f>AVERAGE(E31:E36)</f>
        <v>17.036666666666665</v>
      </c>
    </row>
    <row r="38" spans="1:7" ht="16.5" customHeight="1" x14ac:dyDescent="0.3">
      <c r="A38" s="438" t="s">
        <v>19</v>
      </c>
      <c r="B38" s="439">
        <f>(STDEV(B31:B36)/B37)</f>
        <v>2.2712000421633255E-3</v>
      </c>
      <c r="C38" s="440"/>
      <c r="D38" s="440"/>
      <c r="E38" s="441"/>
    </row>
    <row r="39" spans="1:7" s="415" customFormat="1" ht="16.5" customHeight="1" x14ac:dyDescent="0.3">
      <c r="A39" s="442" t="s">
        <v>20</v>
      </c>
      <c r="B39" s="443">
        <f>COUNT(B31:B36)</f>
        <v>6</v>
      </c>
      <c r="C39" s="444"/>
      <c r="D39" s="445"/>
      <c r="E39" s="446"/>
    </row>
    <row r="40" spans="1:7" s="415" customFormat="1" ht="15.75" customHeight="1" x14ac:dyDescent="0.25">
      <c r="A40" s="420"/>
      <c r="B40" s="420"/>
      <c r="C40" s="420"/>
      <c r="D40" s="420"/>
      <c r="E40" s="420"/>
    </row>
    <row r="41" spans="1:7" s="415" customFormat="1" ht="16.5" customHeight="1" x14ac:dyDescent="0.3">
      <c r="A41" s="421" t="s">
        <v>21</v>
      </c>
      <c r="B41" s="447" t="s">
        <v>127</v>
      </c>
      <c r="C41" s="448"/>
      <c r="D41" s="448"/>
      <c r="E41" s="448"/>
    </row>
    <row r="42" spans="1:7" ht="16.5" customHeight="1" x14ac:dyDescent="0.3">
      <c r="A42" s="421"/>
      <c r="B42" s="447" t="s">
        <v>128</v>
      </c>
      <c r="C42" s="448"/>
      <c r="D42" s="448"/>
      <c r="E42" s="448"/>
    </row>
    <row r="43" spans="1:7" ht="16.5" customHeight="1" x14ac:dyDescent="0.3">
      <c r="A43" s="421"/>
      <c r="B43" s="447" t="s">
        <v>129</v>
      </c>
      <c r="C43" s="448"/>
      <c r="D43" s="448"/>
      <c r="E43" s="448"/>
    </row>
    <row r="44" spans="1:7" ht="14.25" customHeight="1" thickBot="1" x14ac:dyDescent="0.3">
      <c r="A44" s="450"/>
      <c r="B44" s="451"/>
      <c r="D44" s="452"/>
      <c r="F44" s="453"/>
      <c r="G44" s="453"/>
    </row>
    <row r="45" spans="1:7" ht="15" customHeight="1" x14ac:dyDescent="0.3">
      <c r="B45" s="505" t="s">
        <v>23</v>
      </c>
      <c r="C45" s="505"/>
      <c r="E45" s="454" t="s">
        <v>24</v>
      </c>
      <c r="F45" s="455"/>
      <c r="G45" s="454" t="s">
        <v>25</v>
      </c>
    </row>
    <row r="46" spans="1:7" ht="15" customHeight="1" x14ac:dyDescent="0.3">
      <c r="A46" s="456" t="s">
        <v>26</v>
      </c>
      <c r="B46" s="457" t="s">
        <v>130</v>
      </c>
      <c r="C46" s="457"/>
      <c r="E46" s="457" t="s">
        <v>131</v>
      </c>
      <c r="G46" s="457"/>
    </row>
    <row r="47" spans="1:7" ht="15" customHeight="1" x14ac:dyDescent="0.3">
      <c r="A47" s="456" t="s">
        <v>27</v>
      </c>
      <c r="B47" s="458"/>
      <c r="C47" s="458"/>
      <c r="E47" s="458"/>
      <c r="G47" s="459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9"/>
  <sheetViews>
    <sheetView tabSelected="1" view="pageBreakPreview" zoomScale="60" workbookViewId="0">
      <selection activeCell="E49" sqref="E49"/>
    </sheetView>
  </sheetViews>
  <sheetFormatPr defaultRowHeight="13.5" x14ac:dyDescent="0.25"/>
  <cols>
    <col min="1" max="1" width="27.5703125" style="460" customWidth="1"/>
    <col min="2" max="2" width="20.42578125" style="460" customWidth="1"/>
    <col min="3" max="3" width="31.85546875" style="460" customWidth="1"/>
    <col min="4" max="4" width="25.85546875" style="460" customWidth="1"/>
    <col min="5" max="5" width="25.7109375" style="460" customWidth="1"/>
    <col min="6" max="6" width="23.140625" style="460" customWidth="1"/>
    <col min="7" max="7" width="28.42578125" style="460" customWidth="1"/>
    <col min="8" max="8" width="21.5703125" style="460" customWidth="1"/>
    <col min="9" max="9" width="9.140625" style="460" customWidth="1"/>
    <col min="10" max="16384" width="9.140625" style="496"/>
  </cols>
  <sheetData>
    <row r="3" spans="1:5" ht="18.75" customHeight="1" x14ac:dyDescent="0.3">
      <c r="A3" s="506" t="s">
        <v>0</v>
      </c>
      <c r="B3" s="506"/>
      <c r="C3" s="506"/>
      <c r="D3" s="506"/>
      <c r="E3" s="506"/>
    </row>
    <row r="4" spans="1:5" ht="16.5" customHeight="1" x14ac:dyDescent="0.3">
      <c r="A4" s="461" t="s">
        <v>1</v>
      </c>
      <c r="B4" s="462" t="s">
        <v>2</v>
      </c>
    </row>
    <row r="5" spans="1:5" ht="16.5" customHeight="1" x14ac:dyDescent="0.3">
      <c r="A5" s="463" t="s">
        <v>3</v>
      </c>
      <c r="B5" s="463" t="s">
        <v>125</v>
      </c>
      <c r="D5" s="464"/>
      <c r="E5" s="465"/>
    </row>
    <row r="6" spans="1:5" ht="16.5" customHeight="1" x14ac:dyDescent="0.3">
      <c r="A6" s="466" t="s">
        <v>4</v>
      </c>
      <c r="B6" s="467" t="s">
        <v>123</v>
      </c>
      <c r="C6" s="465"/>
      <c r="D6" s="465"/>
      <c r="E6" s="465"/>
    </row>
    <row r="7" spans="1:5" ht="16.5" customHeight="1" x14ac:dyDescent="0.3">
      <c r="A7" s="466" t="s">
        <v>6</v>
      </c>
      <c r="B7" s="464">
        <v>99.3</v>
      </c>
      <c r="C7" s="465"/>
      <c r="D7" s="465"/>
      <c r="E7" s="465"/>
    </row>
    <row r="8" spans="1:5" ht="16.5" customHeight="1" x14ac:dyDescent="0.3">
      <c r="A8" s="463" t="s">
        <v>8</v>
      </c>
      <c r="B8" s="467">
        <v>17.850000000000001</v>
      </c>
      <c r="C8" s="465"/>
      <c r="D8" s="465"/>
      <c r="E8" s="465"/>
    </row>
    <row r="9" spans="1:5" ht="16.5" customHeight="1" x14ac:dyDescent="0.3">
      <c r="A9" s="463" t="s">
        <v>10</v>
      </c>
      <c r="B9" s="468">
        <f>B8/50*10/25</f>
        <v>0.14280000000000001</v>
      </c>
      <c r="C9" s="465"/>
      <c r="D9" s="465"/>
      <c r="E9" s="465"/>
    </row>
    <row r="10" spans="1:5" ht="15.75" customHeight="1" x14ac:dyDescent="0.25">
      <c r="A10" s="465"/>
      <c r="B10" s="469"/>
      <c r="C10" s="465"/>
      <c r="D10" s="465"/>
      <c r="E10" s="465"/>
    </row>
    <row r="11" spans="1:5" ht="16.5" customHeight="1" x14ac:dyDescent="0.3">
      <c r="A11" s="470" t="s">
        <v>13</v>
      </c>
      <c r="B11" s="471" t="s">
        <v>14</v>
      </c>
      <c r="C11" s="470" t="s">
        <v>15</v>
      </c>
      <c r="D11" s="470" t="s">
        <v>16</v>
      </c>
      <c r="E11" s="470" t="s">
        <v>17</v>
      </c>
    </row>
    <row r="12" spans="1:5" ht="16.5" customHeight="1" x14ac:dyDescent="0.3">
      <c r="A12" s="472">
        <v>1</v>
      </c>
      <c r="B12" s="473">
        <v>86851998</v>
      </c>
      <c r="C12" s="473">
        <v>12096.8</v>
      </c>
      <c r="D12" s="474">
        <v>1.1000000000000001</v>
      </c>
      <c r="E12" s="475">
        <v>2.2000000000000002</v>
      </c>
    </row>
    <row r="13" spans="1:5" ht="16.5" customHeight="1" x14ac:dyDescent="0.3">
      <c r="A13" s="472">
        <v>2</v>
      </c>
      <c r="B13" s="473">
        <v>86812502</v>
      </c>
      <c r="C13" s="473">
        <v>11951.5</v>
      </c>
      <c r="D13" s="474">
        <v>1.1000000000000001</v>
      </c>
      <c r="E13" s="474">
        <v>2.2000000000000002</v>
      </c>
    </row>
    <row r="14" spans="1:5" ht="16.5" customHeight="1" x14ac:dyDescent="0.3">
      <c r="A14" s="472">
        <v>3</v>
      </c>
      <c r="B14" s="473">
        <v>87008605</v>
      </c>
      <c r="C14" s="473">
        <v>12072.7</v>
      </c>
      <c r="D14" s="474">
        <v>1.1000000000000001</v>
      </c>
      <c r="E14" s="474">
        <v>2.2000000000000002</v>
      </c>
    </row>
    <row r="15" spans="1:5" ht="16.5" customHeight="1" x14ac:dyDescent="0.3">
      <c r="A15" s="472">
        <v>4</v>
      </c>
      <c r="B15" s="473">
        <v>86816494</v>
      </c>
      <c r="C15" s="473">
        <v>12120.7</v>
      </c>
      <c r="D15" s="474">
        <v>1.1000000000000001</v>
      </c>
      <c r="E15" s="474">
        <v>2.2000000000000002</v>
      </c>
    </row>
    <row r="16" spans="1:5" ht="16.5" customHeight="1" x14ac:dyDescent="0.3">
      <c r="A16" s="472">
        <v>5</v>
      </c>
      <c r="B16" s="473">
        <v>86978023</v>
      </c>
      <c r="C16" s="473">
        <v>12141.3</v>
      </c>
      <c r="D16" s="474">
        <v>1.1000000000000001</v>
      </c>
      <c r="E16" s="474">
        <v>2.2000000000000002</v>
      </c>
    </row>
    <row r="17" spans="1:5" ht="16.5" customHeight="1" x14ac:dyDescent="0.3">
      <c r="A17" s="472">
        <v>6</v>
      </c>
      <c r="B17" s="476">
        <v>86818615</v>
      </c>
      <c r="C17" s="476">
        <v>12007.8</v>
      </c>
      <c r="D17" s="477">
        <v>1.1000000000000001</v>
      </c>
      <c r="E17" s="477">
        <v>2.2000000000000002</v>
      </c>
    </row>
    <row r="18" spans="1:5" ht="16.5" customHeight="1" x14ac:dyDescent="0.3">
      <c r="A18" s="478" t="s">
        <v>18</v>
      </c>
      <c r="B18" s="479">
        <v>86881039.5</v>
      </c>
      <c r="C18" s="480">
        <v>12065.1</v>
      </c>
      <c r="D18" s="481">
        <v>1.1000000000000001</v>
      </c>
      <c r="E18" s="481">
        <v>2.2000000000000002</v>
      </c>
    </row>
    <row r="19" spans="1:5" ht="16.5" customHeight="1" x14ac:dyDescent="0.3">
      <c r="A19" s="482" t="s">
        <v>19</v>
      </c>
      <c r="B19" s="483">
        <f>(STDEV(B12:B17)/B18)</f>
        <v>1.0202098512938882E-3</v>
      </c>
      <c r="C19" s="484"/>
      <c r="D19" s="484"/>
      <c r="E19" s="485"/>
    </row>
    <row r="20" spans="1:5" s="460" customFormat="1" ht="16.5" customHeight="1" x14ac:dyDescent="0.3">
      <c r="A20" s="486" t="s">
        <v>20</v>
      </c>
      <c r="B20" s="487">
        <f>COUNT(B12:B17)</f>
        <v>6</v>
      </c>
      <c r="C20" s="488"/>
      <c r="D20" s="489"/>
      <c r="E20" s="490"/>
    </row>
    <row r="21" spans="1:5" s="460" customFormat="1" ht="15.75" customHeight="1" x14ac:dyDescent="0.25">
      <c r="A21" s="465"/>
      <c r="B21" s="465"/>
      <c r="C21" s="465"/>
      <c r="D21" s="465"/>
      <c r="E21" s="465"/>
    </row>
    <row r="22" spans="1:5" s="460" customFormat="1" ht="16.5" customHeight="1" x14ac:dyDescent="0.3">
      <c r="A22" s="466" t="s">
        <v>21</v>
      </c>
      <c r="B22" s="491" t="s">
        <v>127</v>
      </c>
      <c r="C22" s="492"/>
      <c r="D22" s="492"/>
      <c r="E22" s="492"/>
    </row>
    <row r="23" spans="1:5" ht="16.5" customHeight="1" x14ac:dyDescent="0.3">
      <c r="A23" s="466"/>
      <c r="B23" s="491" t="s">
        <v>128</v>
      </c>
      <c r="C23" s="492"/>
      <c r="D23" s="492"/>
      <c r="E23" s="492"/>
    </row>
    <row r="24" spans="1:5" ht="16.5" customHeight="1" x14ac:dyDescent="0.3">
      <c r="A24" s="466"/>
      <c r="B24" s="491" t="s">
        <v>129</v>
      </c>
      <c r="C24" s="492"/>
      <c r="D24" s="492"/>
      <c r="E24" s="492"/>
    </row>
    <row r="25" spans="1:5" ht="15.75" customHeight="1" x14ac:dyDescent="0.25">
      <c r="A25" s="465"/>
      <c r="B25" s="465"/>
      <c r="C25" s="465"/>
      <c r="D25" s="465"/>
      <c r="E25" s="465"/>
    </row>
    <row r="26" spans="1:5" ht="16.5" customHeight="1" x14ac:dyDescent="0.3">
      <c r="A26" s="461" t="s">
        <v>1</v>
      </c>
      <c r="B26" s="462" t="s">
        <v>22</v>
      </c>
    </row>
    <row r="27" spans="1:5" ht="16.5" customHeight="1" x14ac:dyDescent="0.3">
      <c r="A27" s="466" t="s">
        <v>4</v>
      </c>
      <c r="B27" s="463" t="s">
        <v>123</v>
      </c>
      <c r="C27" s="465"/>
      <c r="D27" s="465"/>
      <c r="E27" s="465"/>
    </row>
    <row r="28" spans="1:5" ht="16.5" customHeight="1" x14ac:dyDescent="0.3">
      <c r="A28" s="466" t="s">
        <v>6</v>
      </c>
      <c r="B28" s="467">
        <v>100</v>
      </c>
      <c r="C28" s="465"/>
      <c r="D28" s="465"/>
      <c r="E28" s="465"/>
    </row>
    <row r="29" spans="1:5" ht="16.5" customHeight="1" x14ac:dyDescent="0.3">
      <c r="A29" s="463" t="s">
        <v>8</v>
      </c>
      <c r="B29" s="467">
        <f>[1]Lamivudine!D96</f>
        <v>14.64</v>
      </c>
      <c r="C29" s="465"/>
      <c r="D29" s="465"/>
      <c r="E29" s="465"/>
    </row>
    <row r="30" spans="1:5" ht="16.5" customHeight="1" x14ac:dyDescent="0.3">
      <c r="A30" s="463" t="s">
        <v>10</v>
      </c>
      <c r="B30" s="468">
        <f>B29/50</f>
        <v>0.2928</v>
      </c>
      <c r="C30" s="465"/>
      <c r="D30" s="465"/>
      <c r="E30" s="465"/>
    </row>
    <row r="31" spans="1:5" ht="15.75" customHeight="1" x14ac:dyDescent="0.25">
      <c r="A31" s="465"/>
      <c r="B31" s="465"/>
      <c r="C31" s="465"/>
      <c r="D31" s="465"/>
      <c r="E31" s="465"/>
    </row>
    <row r="32" spans="1:5" ht="16.5" customHeight="1" x14ac:dyDescent="0.3">
      <c r="A32" s="470" t="s">
        <v>13</v>
      </c>
      <c r="B32" s="471" t="s">
        <v>14</v>
      </c>
      <c r="C32" s="470" t="s">
        <v>15</v>
      </c>
      <c r="D32" s="470" t="s">
        <v>16</v>
      </c>
      <c r="E32" s="470" t="s">
        <v>17</v>
      </c>
    </row>
    <row r="33" spans="1:7" ht="16.5" customHeight="1" x14ac:dyDescent="0.3">
      <c r="A33" s="472">
        <v>1</v>
      </c>
      <c r="B33" s="473">
        <v>103423348</v>
      </c>
      <c r="C33" s="473">
        <v>64827.3</v>
      </c>
      <c r="D33" s="474">
        <v>1.1000000000000001</v>
      </c>
      <c r="E33" s="475">
        <v>8.7799999999999994</v>
      </c>
    </row>
    <row r="34" spans="1:7" ht="16.5" customHeight="1" x14ac:dyDescent="0.3">
      <c r="A34" s="472">
        <v>2</v>
      </c>
      <c r="B34" s="473">
        <v>103333666</v>
      </c>
      <c r="C34" s="473">
        <v>64987.3</v>
      </c>
      <c r="D34" s="474">
        <v>1.1000000000000001</v>
      </c>
      <c r="E34" s="474">
        <v>8.7799999999999994</v>
      </c>
    </row>
    <row r="35" spans="1:7" ht="16.5" customHeight="1" x14ac:dyDescent="0.3">
      <c r="A35" s="472">
        <v>3</v>
      </c>
      <c r="B35" s="473">
        <v>103249741</v>
      </c>
      <c r="C35" s="473">
        <v>64712.7</v>
      </c>
      <c r="D35" s="474">
        <v>1.2</v>
      </c>
      <c r="E35" s="474">
        <v>8.77</v>
      </c>
    </row>
    <row r="36" spans="1:7" ht="16.5" customHeight="1" x14ac:dyDescent="0.3">
      <c r="A36" s="472">
        <v>4</v>
      </c>
      <c r="B36" s="473">
        <v>103622652</v>
      </c>
      <c r="C36" s="473">
        <v>63861.4</v>
      </c>
      <c r="D36" s="474">
        <v>1.1000000000000001</v>
      </c>
      <c r="E36" s="474">
        <v>8.77</v>
      </c>
    </row>
    <row r="37" spans="1:7" ht="16.5" customHeight="1" x14ac:dyDescent="0.3">
      <c r="A37" s="472">
        <v>5</v>
      </c>
      <c r="B37" s="473">
        <v>103818340</v>
      </c>
      <c r="C37" s="473">
        <v>62704.5</v>
      </c>
      <c r="D37" s="474">
        <v>1.2</v>
      </c>
      <c r="E37" s="474">
        <v>8.7799999999999994</v>
      </c>
    </row>
    <row r="38" spans="1:7" ht="16.5" customHeight="1" x14ac:dyDescent="0.3">
      <c r="A38" s="472">
        <v>6</v>
      </c>
      <c r="B38" s="476">
        <v>103939874</v>
      </c>
      <c r="C38" s="476">
        <v>64245.3</v>
      </c>
      <c r="D38" s="477">
        <v>1.1000000000000001</v>
      </c>
      <c r="E38" s="477">
        <v>8.7799999999999994</v>
      </c>
    </row>
    <row r="39" spans="1:7" ht="16.5" customHeight="1" x14ac:dyDescent="0.3">
      <c r="A39" s="478" t="s">
        <v>18</v>
      </c>
      <c r="B39" s="479">
        <f>AVERAGE(B33:B38)</f>
        <v>103564603.5</v>
      </c>
      <c r="C39" s="480">
        <f>AVERAGE(C33:C38)</f>
        <v>64223.083333333321</v>
      </c>
      <c r="D39" s="481">
        <f>AVERAGE(D33:D38)</f>
        <v>1.1333333333333335</v>
      </c>
      <c r="E39" s="481">
        <f>AVERAGE(E33:E38)</f>
        <v>8.7766666666666655</v>
      </c>
    </row>
    <row r="40" spans="1:7" ht="16.5" customHeight="1" x14ac:dyDescent="0.3">
      <c r="A40" s="482" t="s">
        <v>19</v>
      </c>
      <c r="B40" s="483">
        <f>(STDEV(B33:B38)/B39)</f>
        <v>2.6654349748210463E-3</v>
      </c>
      <c r="C40" s="484"/>
      <c r="D40" s="484"/>
      <c r="E40" s="485"/>
    </row>
    <row r="41" spans="1:7" s="460" customFormat="1" ht="16.5" customHeight="1" x14ac:dyDescent="0.3">
      <c r="A41" s="486" t="s">
        <v>20</v>
      </c>
      <c r="B41" s="487">
        <f>COUNT(B33:B38)</f>
        <v>6</v>
      </c>
      <c r="C41" s="488"/>
      <c r="D41" s="489"/>
      <c r="E41" s="490"/>
    </row>
    <row r="42" spans="1:7" s="460" customFormat="1" ht="15.75" customHeight="1" x14ac:dyDescent="0.25">
      <c r="A42" s="465"/>
      <c r="B42" s="465"/>
      <c r="C42" s="465"/>
      <c r="D42" s="465"/>
      <c r="E42" s="465"/>
    </row>
    <row r="43" spans="1:7" s="460" customFormat="1" ht="16.5" customHeight="1" x14ac:dyDescent="0.3">
      <c r="A43" s="466" t="s">
        <v>21</v>
      </c>
      <c r="B43" s="491" t="s">
        <v>127</v>
      </c>
      <c r="C43" s="492"/>
      <c r="D43" s="492"/>
      <c r="E43" s="492"/>
    </row>
    <row r="44" spans="1:7" ht="16.5" customHeight="1" x14ac:dyDescent="0.3">
      <c r="A44" s="466"/>
      <c r="B44" s="491" t="s">
        <v>128</v>
      </c>
      <c r="C44" s="492"/>
      <c r="D44" s="492"/>
      <c r="E44" s="492"/>
    </row>
    <row r="45" spans="1:7" ht="16.5" customHeight="1" x14ac:dyDescent="0.3">
      <c r="A45" s="466"/>
      <c r="B45" s="491" t="s">
        <v>129</v>
      </c>
      <c r="C45" s="492"/>
      <c r="D45" s="492"/>
      <c r="E45" s="492"/>
    </row>
    <row r="46" spans="1:7" ht="14.25" customHeight="1" thickBot="1" x14ac:dyDescent="0.3">
      <c r="A46" s="493"/>
      <c r="B46" s="494"/>
      <c r="D46" s="495"/>
      <c r="F46" s="496"/>
      <c r="G46" s="496"/>
    </row>
    <row r="47" spans="1:7" ht="15" customHeight="1" x14ac:dyDescent="0.3">
      <c r="B47" s="507" t="s">
        <v>23</v>
      </c>
      <c r="C47" s="507"/>
      <c r="E47" s="497" t="s">
        <v>24</v>
      </c>
      <c r="F47" s="498"/>
      <c r="G47" s="497" t="s">
        <v>25</v>
      </c>
    </row>
    <row r="48" spans="1:7" ht="15" customHeight="1" x14ac:dyDescent="0.3">
      <c r="A48" s="499" t="s">
        <v>26</v>
      </c>
      <c r="B48" s="500" t="s">
        <v>130</v>
      </c>
      <c r="C48" s="500"/>
      <c r="E48" s="500" t="s">
        <v>131</v>
      </c>
      <c r="G48" s="500"/>
    </row>
    <row r="49" spans="1:7" ht="15" customHeight="1" x14ac:dyDescent="0.3">
      <c r="A49" s="499" t="s">
        <v>27</v>
      </c>
      <c r="B49" s="501"/>
      <c r="C49" s="501"/>
      <c r="E49" s="501"/>
      <c r="G49" s="502"/>
    </row>
  </sheetData>
  <sheetProtection formatCells="0" formatColumns="0" formatRows="0" insertColumns="0" insertRows="0" insertHyperlinks="0" deleteColumns="0" deleteRows="0" sort="0" autoFilter="0" pivotTables="0"/>
  <mergeCells count="2">
    <mergeCell ref="A3:E3"/>
    <mergeCell ref="B47:C47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1" t="s">
        <v>28</v>
      </c>
      <c r="B11" s="512"/>
      <c r="C11" s="512"/>
      <c r="D11" s="512"/>
      <c r="E11" s="512"/>
      <c r="F11" s="513"/>
      <c r="G11" s="43"/>
    </row>
    <row r="12" spans="1:7" ht="16.5" customHeight="1" x14ac:dyDescent="0.3">
      <c r="A12" s="510" t="s">
        <v>29</v>
      </c>
      <c r="B12" s="510"/>
      <c r="C12" s="510"/>
      <c r="D12" s="510"/>
      <c r="E12" s="510"/>
      <c r="F12" s="510"/>
      <c r="G12" s="42"/>
    </row>
    <row r="14" spans="1:7" ht="16.5" customHeight="1" x14ac:dyDescent="0.3">
      <c r="A14" s="515" t="s">
        <v>30</v>
      </c>
      <c r="B14" s="515"/>
      <c r="C14" s="12" t="s">
        <v>5</v>
      </c>
    </row>
    <row r="15" spans="1:7" ht="16.5" customHeight="1" x14ac:dyDescent="0.3">
      <c r="A15" s="515" t="s">
        <v>31</v>
      </c>
      <c r="B15" s="515"/>
      <c r="C15" s="12" t="s">
        <v>7</v>
      </c>
    </row>
    <row r="16" spans="1:7" ht="16.5" customHeight="1" x14ac:dyDescent="0.3">
      <c r="A16" s="515" t="s">
        <v>32</v>
      </c>
      <c r="B16" s="515"/>
      <c r="C16" s="12" t="s">
        <v>9</v>
      </c>
    </row>
    <row r="17" spans="1:5" ht="16.5" customHeight="1" x14ac:dyDescent="0.3">
      <c r="A17" s="515" t="s">
        <v>33</v>
      </c>
      <c r="B17" s="515"/>
      <c r="C17" s="12" t="s">
        <v>11</v>
      </c>
    </row>
    <row r="18" spans="1:5" ht="16.5" customHeight="1" x14ac:dyDescent="0.3">
      <c r="A18" s="515" t="s">
        <v>34</v>
      </c>
      <c r="B18" s="515"/>
      <c r="C18" s="49" t="s">
        <v>12</v>
      </c>
    </row>
    <row r="19" spans="1:5" ht="16.5" customHeight="1" x14ac:dyDescent="0.3">
      <c r="A19" s="515" t="s">
        <v>35</v>
      </c>
      <c r="B19" s="515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510" t="s">
        <v>1</v>
      </c>
      <c r="B21" s="510"/>
      <c r="C21" s="11" t="s">
        <v>36</v>
      </c>
      <c r="D21" s="18"/>
    </row>
    <row r="22" spans="1:5" ht="15.75" customHeight="1" x14ac:dyDescent="0.3">
      <c r="A22" s="514"/>
      <c r="B22" s="514"/>
      <c r="C22" s="9"/>
      <c r="D22" s="514"/>
      <c r="E22" s="514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865.23</v>
      </c>
      <c r="D24" s="39">
        <f t="shared" ref="D24:D43" si="0">(C24-$C$46)/$C$46</f>
        <v>-3.1935410287073623E-3</v>
      </c>
      <c r="E24" s="5"/>
    </row>
    <row r="25" spans="1:5" ht="15.75" customHeight="1" x14ac:dyDescent="0.3">
      <c r="C25" s="47">
        <v>872.43</v>
      </c>
      <c r="D25" s="40">
        <f t="shared" si="0"/>
        <v>5.1013707341686807E-3</v>
      </c>
      <c r="E25" s="5"/>
    </row>
    <row r="26" spans="1:5" ht="15.75" customHeight="1" x14ac:dyDescent="0.3">
      <c r="C26" s="47">
        <v>863.85</v>
      </c>
      <c r="D26" s="40">
        <f t="shared" si="0"/>
        <v>-4.7833991165919468E-3</v>
      </c>
      <c r="E26" s="5"/>
    </row>
    <row r="27" spans="1:5" ht="15.75" customHeight="1" x14ac:dyDescent="0.3">
      <c r="C27" s="47">
        <v>861.88</v>
      </c>
      <c r="D27" s="40">
        <f t="shared" si="0"/>
        <v>-7.0529791406011401E-3</v>
      </c>
      <c r="E27" s="5"/>
    </row>
    <row r="28" spans="1:5" ht="15.75" customHeight="1" x14ac:dyDescent="0.3">
      <c r="C28" s="47">
        <v>867.58</v>
      </c>
      <c r="D28" s="40">
        <f t="shared" si="0"/>
        <v>-4.8617399499082428E-4</v>
      </c>
      <c r="E28" s="5"/>
    </row>
    <row r="29" spans="1:5" ht="15.75" customHeight="1" x14ac:dyDescent="0.3">
      <c r="C29" s="47">
        <v>870.14</v>
      </c>
      <c r="D29" s="40">
        <f t="shared" si="0"/>
        <v>2.4631279651428453E-3</v>
      </c>
      <c r="E29" s="5"/>
    </row>
    <row r="30" spans="1:5" ht="15.75" customHeight="1" x14ac:dyDescent="0.3">
      <c r="C30" s="47">
        <v>861.24</v>
      </c>
      <c r="D30" s="40">
        <f t="shared" si="0"/>
        <v>-7.7903046306345572E-3</v>
      </c>
      <c r="E30" s="5"/>
    </row>
    <row r="31" spans="1:5" ht="15.75" customHeight="1" x14ac:dyDescent="0.3">
      <c r="C31" s="47">
        <v>870.78</v>
      </c>
      <c r="D31" s="40">
        <f t="shared" si="0"/>
        <v>3.2004534551762624E-3</v>
      </c>
      <c r="E31" s="5"/>
    </row>
    <row r="32" spans="1:5" ht="15.75" customHeight="1" x14ac:dyDescent="0.3">
      <c r="C32" s="47">
        <v>871.36</v>
      </c>
      <c r="D32" s="40">
        <f t="shared" si="0"/>
        <v>3.8686546805191081E-3</v>
      </c>
      <c r="E32" s="5"/>
    </row>
    <row r="33" spans="1:7" ht="15.75" customHeight="1" x14ac:dyDescent="0.3">
      <c r="C33" s="47">
        <v>859.21</v>
      </c>
      <c r="D33" s="40">
        <f t="shared" si="0"/>
        <v>-1.0129008919334321E-2</v>
      </c>
      <c r="E33" s="5"/>
    </row>
    <row r="34" spans="1:7" ht="15.75" customHeight="1" x14ac:dyDescent="0.3">
      <c r="C34" s="47">
        <v>871.9</v>
      </c>
      <c r="D34" s="40">
        <f t="shared" si="0"/>
        <v>4.4907730627347757E-3</v>
      </c>
      <c r="E34" s="5"/>
    </row>
    <row r="35" spans="1:7" ht="15.75" customHeight="1" x14ac:dyDescent="0.3">
      <c r="C35" s="47">
        <v>863.41</v>
      </c>
      <c r="D35" s="40">
        <f t="shared" si="0"/>
        <v>-5.290310390989995E-3</v>
      </c>
      <c r="E35" s="5"/>
    </row>
    <row r="36" spans="1:7" ht="15.75" customHeight="1" x14ac:dyDescent="0.3">
      <c r="C36" s="47">
        <v>863.17</v>
      </c>
      <c r="D36" s="40">
        <f t="shared" si="0"/>
        <v>-5.5668074497525434E-3</v>
      </c>
      <c r="E36" s="5"/>
    </row>
    <row r="37" spans="1:7" ht="15.75" customHeight="1" x14ac:dyDescent="0.3">
      <c r="C37" s="47">
        <v>876.48</v>
      </c>
      <c r="D37" s="40">
        <f t="shared" si="0"/>
        <v>9.7672586007865776E-3</v>
      </c>
      <c r="E37" s="5"/>
    </row>
    <row r="38" spans="1:7" ht="15.75" customHeight="1" x14ac:dyDescent="0.3">
      <c r="C38" s="47">
        <v>863.04</v>
      </c>
      <c r="D38" s="40">
        <f t="shared" si="0"/>
        <v>-5.7165766899155788E-3</v>
      </c>
      <c r="E38" s="5"/>
    </row>
    <row r="39" spans="1:7" ht="15.75" customHeight="1" x14ac:dyDescent="0.3">
      <c r="C39" s="47">
        <v>871.47</v>
      </c>
      <c r="D39" s="40">
        <f t="shared" si="0"/>
        <v>3.9953824991186201E-3</v>
      </c>
      <c r="E39" s="5"/>
    </row>
    <row r="40" spans="1:7" ht="15.75" customHeight="1" x14ac:dyDescent="0.3">
      <c r="C40" s="47">
        <v>867.74</v>
      </c>
      <c r="D40" s="40">
        <f t="shared" si="0"/>
        <v>-3.0184262248250269E-4</v>
      </c>
      <c r="E40" s="5"/>
    </row>
    <row r="41" spans="1:7" ht="15.75" customHeight="1" x14ac:dyDescent="0.3">
      <c r="C41" s="47">
        <v>872.17</v>
      </c>
      <c r="D41" s="40">
        <f t="shared" si="0"/>
        <v>4.8018322538426091E-3</v>
      </c>
      <c r="E41" s="5"/>
    </row>
    <row r="42" spans="1:7" ht="15.75" customHeight="1" x14ac:dyDescent="0.3">
      <c r="C42" s="47">
        <v>872.24</v>
      </c>
      <c r="D42" s="40">
        <f t="shared" si="0"/>
        <v>4.8824772293150735E-3</v>
      </c>
      <c r="E42" s="5"/>
    </row>
    <row r="43" spans="1:7" ht="16.5" customHeight="1" x14ac:dyDescent="0.3">
      <c r="C43" s="48">
        <v>874.72</v>
      </c>
      <c r="D43" s="41">
        <f t="shared" si="0"/>
        <v>7.7396135031946476E-3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17360.04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868.00200000000007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508">
        <f>C46</f>
        <v>868.00200000000007</v>
      </c>
      <c r="C49" s="45">
        <f>-IF(C46&lt;=80,10%,IF(C46&lt;250,7.5%,5%))</f>
        <v>-0.05</v>
      </c>
      <c r="D49" s="33">
        <f>IF(C46&lt;=80,C46*0.9,IF(C46&lt;250,C46*0.925,C46*0.95))</f>
        <v>824.6019</v>
      </c>
    </row>
    <row r="50" spans="1:6" ht="17.25" customHeight="1" x14ac:dyDescent="0.3">
      <c r="B50" s="509"/>
      <c r="C50" s="46">
        <f>IF(C46&lt;=80, 10%, IF(C46&lt;250, 7.5%, 5%))</f>
        <v>0.05</v>
      </c>
      <c r="D50" s="33">
        <f>IF(C46&lt;=80, C46*1.1, IF(C46&lt;250, C46*1.075, C46*1.05))</f>
        <v>911.40210000000013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34" zoomScale="50" zoomScaleNormal="40" zoomScalePageLayoutView="50" workbookViewId="0">
      <selection activeCell="F64" sqref="F6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4" t="s">
        <v>42</v>
      </c>
      <c r="B1" s="544"/>
      <c r="C1" s="544"/>
      <c r="D1" s="544"/>
      <c r="E1" s="544"/>
      <c r="F1" s="544"/>
      <c r="G1" s="544"/>
      <c r="H1" s="544"/>
      <c r="I1" s="544"/>
    </row>
    <row r="2" spans="1:9" ht="18.75" customHeight="1" x14ac:dyDescent="0.25">
      <c r="A2" s="544"/>
      <c r="B2" s="544"/>
      <c r="C2" s="544"/>
      <c r="D2" s="544"/>
      <c r="E2" s="544"/>
      <c r="F2" s="544"/>
      <c r="G2" s="544"/>
      <c r="H2" s="544"/>
      <c r="I2" s="544"/>
    </row>
    <row r="3" spans="1:9" ht="18.75" customHeight="1" x14ac:dyDescent="0.25">
      <c r="A3" s="544"/>
      <c r="B3" s="544"/>
      <c r="C3" s="544"/>
      <c r="D3" s="544"/>
      <c r="E3" s="544"/>
      <c r="F3" s="544"/>
      <c r="G3" s="544"/>
      <c r="H3" s="544"/>
      <c r="I3" s="544"/>
    </row>
    <row r="4" spans="1:9" ht="18.75" customHeight="1" x14ac:dyDescent="0.25">
      <c r="A4" s="544"/>
      <c r="B4" s="544"/>
      <c r="C4" s="544"/>
      <c r="D4" s="544"/>
      <c r="E4" s="544"/>
      <c r="F4" s="544"/>
      <c r="G4" s="544"/>
      <c r="H4" s="544"/>
      <c r="I4" s="544"/>
    </row>
    <row r="5" spans="1:9" ht="18.75" customHeight="1" x14ac:dyDescent="0.25">
      <c r="A5" s="544"/>
      <c r="B5" s="544"/>
      <c r="C5" s="544"/>
      <c r="D5" s="544"/>
      <c r="E5" s="544"/>
      <c r="F5" s="544"/>
      <c r="G5" s="544"/>
      <c r="H5" s="544"/>
      <c r="I5" s="544"/>
    </row>
    <row r="6" spans="1:9" ht="18.75" customHeight="1" x14ac:dyDescent="0.25">
      <c r="A6" s="544"/>
      <c r="B6" s="544"/>
      <c r="C6" s="544"/>
      <c r="D6" s="544"/>
      <c r="E6" s="544"/>
      <c r="F6" s="544"/>
      <c r="G6" s="544"/>
      <c r="H6" s="544"/>
      <c r="I6" s="544"/>
    </row>
    <row r="7" spans="1:9" ht="18.75" customHeight="1" x14ac:dyDescent="0.25">
      <c r="A7" s="544"/>
      <c r="B7" s="544"/>
      <c r="C7" s="544"/>
      <c r="D7" s="544"/>
      <c r="E7" s="544"/>
      <c r="F7" s="544"/>
      <c r="G7" s="544"/>
      <c r="H7" s="544"/>
      <c r="I7" s="544"/>
    </row>
    <row r="8" spans="1:9" x14ac:dyDescent="0.25">
      <c r="A8" s="545" t="s">
        <v>43</v>
      </c>
      <c r="B8" s="545"/>
      <c r="C8" s="545"/>
      <c r="D8" s="545"/>
      <c r="E8" s="545"/>
      <c r="F8" s="545"/>
      <c r="G8" s="545"/>
      <c r="H8" s="545"/>
      <c r="I8" s="545"/>
    </row>
    <row r="9" spans="1:9" x14ac:dyDescent="0.25">
      <c r="A9" s="545"/>
      <c r="B9" s="545"/>
      <c r="C9" s="545"/>
      <c r="D9" s="545"/>
      <c r="E9" s="545"/>
      <c r="F9" s="545"/>
      <c r="G9" s="545"/>
      <c r="H9" s="545"/>
      <c r="I9" s="545"/>
    </row>
    <row r="10" spans="1:9" x14ac:dyDescent="0.25">
      <c r="A10" s="545"/>
      <c r="B10" s="545"/>
      <c r="C10" s="545"/>
      <c r="D10" s="545"/>
      <c r="E10" s="545"/>
      <c r="F10" s="545"/>
      <c r="G10" s="545"/>
      <c r="H10" s="545"/>
      <c r="I10" s="545"/>
    </row>
    <row r="11" spans="1:9" x14ac:dyDescent="0.25">
      <c r="A11" s="545"/>
      <c r="B11" s="545"/>
      <c r="C11" s="545"/>
      <c r="D11" s="545"/>
      <c r="E11" s="545"/>
      <c r="F11" s="545"/>
      <c r="G11" s="545"/>
      <c r="H11" s="545"/>
      <c r="I11" s="545"/>
    </row>
    <row r="12" spans="1:9" x14ac:dyDescent="0.25">
      <c r="A12" s="545"/>
      <c r="B12" s="545"/>
      <c r="C12" s="545"/>
      <c r="D12" s="545"/>
      <c r="E12" s="545"/>
      <c r="F12" s="545"/>
      <c r="G12" s="545"/>
      <c r="H12" s="545"/>
      <c r="I12" s="545"/>
    </row>
    <row r="13" spans="1:9" x14ac:dyDescent="0.25">
      <c r="A13" s="545"/>
      <c r="B13" s="545"/>
      <c r="C13" s="545"/>
      <c r="D13" s="545"/>
      <c r="E13" s="545"/>
      <c r="F13" s="545"/>
      <c r="G13" s="545"/>
      <c r="H13" s="545"/>
      <c r="I13" s="545"/>
    </row>
    <row r="14" spans="1:9" x14ac:dyDescent="0.25">
      <c r="A14" s="545"/>
      <c r="B14" s="545"/>
      <c r="C14" s="545"/>
      <c r="D14" s="545"/>
      <c r="E14" s="545"/>
      <c r="F14" s="545"/>
      <c r="G14" s="545"/>
      <c r="H14" s="545"/>
      <c r="I14" s="545"/>
    </row>
    <row r="15" spans="1:9" ht="19.5" customHeight="1" x14ac:dyDescent="0.3">
      <c r="A15" s="50"/>
    </row>
    <row r="16" spans="1:9" ht="19.5" customHeight="1" x14ac:dyDescent="0.3">
      <c r="A16" s="517" t="s">
        <v>28</v>
      </c>
      <c r="B16" s="518"/>
      <c r="C16" s="518"/>
      <c r="D16" s="518"/>
      <c r="E16" s="518"/>
      <c r="F16" s="518"/>
      <c r="G16" s="518"/>
      <c r="H16" s="519"/>
    </row>
    <row r="17" spans="1:14" ht="20.25" customHeight="1" x14ac:dyDescent="0.25">
      <c r="A17" s="520" t="s">
        <v>44</v>
      </c>
      <c r="B17" s="520"/>
      <c r="C17" s="520"/>
      <c r="D17" s="520"/>
      <c r="E17" s="520"/>
      <c r="F17" s="520"/>
      <c r="G17" s="520"/>
      <c r="H17" s="520"/>
    </row>
    <row r="18" spans="1:14" ht="26.25" customHeight="1" x14ac:dyDescent="0.4">
      <c r="A18" s="52" t="s">
        <v>30</v>
      </c>
      <c r="B18" s="516" t="s">
        <v>5</v>
      </c>
      <c r="C18" s="516"/>
      <c r="D18" s="219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32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521" t="s">
        <v>9</v>
      </c>
      <c r="C20" s="521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521" t="s">
        <v>11</v>
      </c>
      <c r="C21" s="521"/>
      <c r="D21" s="521"/>
      <c r="E21" s="521"/>
      <c r="F21" s="521"/>
      <c r="G21" s="521"/>
      <c r="H21" s="521"/>
      <c r="I21" s="56"/>
    </row>
    <row r="22" spans="1:14" ht="26.25" customHeight="1" x14ac:dyDescent="0.4">
      <c r="A22" s="52" t="s">
        <v>34</v>
      </c>
      <c r="B22" s="57">
        <v>42634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>
        <v>42688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16" t="s">
        <v>9</v>
      </c>
      <c r="C26" s="516"/>
    </row>
    <row r="27" spans="1:14" ht="26.25" customHeight="1" x14ac:dyDescent="0.4">
      <c r="A27" s="61" t="s">
        <v>45</v>
      </c>
      <c r="B27" s="522" t="s">
        <v>122</v>
      </c>
      <c r="C27" s="522"/>
    </row>
    <row r="28" spans="1:14" ht="27" customHeight="1" x14ac:dyDescent="0.4">
      <c r="A28" s="61" t="s">
        <v>6</v>
      </c>
      <c r="B28" s="62">
        <v>98.8</v>
      </c>
    </row>
    <row r="29" spans="1:14" s="3" customFormat="1" ht="27" customHeight="1" x14ac:dyDescent="0.4">
      <c r="A29" s="61" t="s">
        <v>46</v>
      </c>
      <c r="B29" s="63">
        <v>0</v>
      </c>
      <c r="C29" s="523" t="s">
        <v>47</v>
      </c>
      <c r="D29" s="524"/>
      <c r="E29" s="524"/>
      <c r="F29" s="524"/>
      <c r="G29" s="525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98.8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526" t="s">
        <v>50</v>
      </c>
      <c r="D31" s="527"/>
      <c r="E31" s="527"/>
      <c r="F31" s="527"/>
      <c r="G31" s="527"/>
      <c r="H31" s="528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526" t="s">
        <v>52</v>
      </c>
      <c r="D32" s="527"/>
      <c r="E32" s="527"/>
      <c r="F32" s="527"/>
      <c r="G32" s="527"/>
      <c r="H32" s="52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50</v>
      </c>
      <c r="C36" s="51"/>
      <c r="D36" s="529" t="s">
        <v>56</v>
      </c>
      <c r="E36" s="530"/>
      <c r="F36" s="529" t="s">
        <v>57</v>
      </c>
      <c r="G36" s="53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10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25</v>
      </c>
      <c r="C38" s="83">
        <v>1</v>
      </c>
      <c r="D38" s="84">
        <v>25788256</v>
      </c>
      <c r="E38" s="85">
        <f>IF(ISBLANK(D38),"-",$D$48/$D$45*D38)</f>
        <v>28005873.051728033</v>
      </c>
      <c r="F38" s="84">
        <v>27013314</v>
      </c>
      <c r="G38" s="86">
        <f>IF(ISBLANK(F38),"-",$D$48/$F$45*F38)</f>
        <v>28740095.582873952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25769917</v>
      </c>
      <c r="E39" s="90">
        <f>IF(ISBLANK(D39),"-",$D$48/$D$45*D39)</f>
        <v>27985957.020729441</v>
      </c>
      <c r="F39" s="89">
        <v>27138977</v>
      </c>
      <c r="G39" s="91">
        <f>IF(ISBLANK(F39),"-",$D$48/$F$45*F39)</f>
        <v>28873791.383071985</v>
      </c>
      <c r="I39" s="533">
        <f>ABS((F43/D43*D42)-F42)/D42</f>
        <v>3.0026315394274711E-2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25777612</v>
      </c>
      <c r="E40" s="90">
        <f>IF(ISBLANK(D40),"-",$D$48/$D$45*D40)</f>
        <v>27994313.739118349</v>
      </c>
      <c r="F40" s="89">
        <v>27109850</v>
      </c>
      <c r="G40" s="91">
        <f>IF(ISBLANK(F40),"-",$D$48/$F$45*F40)</f>
        <v>28842802.487594649</v>
      </c>
      <c r="I40" s="533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25778595</v>
      </c>
      <c r="E42" s="100">
        <f>AVERAGE(E38:E41)</f>
        <v>27995381.270525277</v>
      </c>
      <c r="F42" s="99">
        <f>AVERAGE(F38:F41)</f>
        <v>27087380.333333332</v>
      </c>
      <c r="G42" s="101">
        <f>AVERAGE(G38:G41)</f>
        <v>28818896.484513532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13.98</v>
      </c>
      <c r="E43" s="92"/>
      <c r="F43" s="104">
        <v>14.27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13.98</v>
      </c>
      <c r="E44" s="107"/>
      <c r="F44" s="106">
        <f>F43*$B$34</f>
        <v>14.27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125</v>
      </c>
      <c r="C45" s="105" t="s">
        <v>74</v>
      </c>
      <c r="D45" s="109">
        <f>D44*$B$30/100</f>
        <v>13.812239999999999</v>
      </c>
      <c r="E45" s="110"/>
      <c r="F45" s="109">
        <f>F44*$B$30/100</f>
        <v>14.09876</v>
      </c>
      <c r="H45" s="102"/>
    </row>
    <row r="46" spans="1:14" ht="19.5" customHeight="1" x14ac:dyDescent="0.3">
      <c r="A46" s="534" t="s">
        <v>75</v>
      </c>
      <c r="B46" s="535"/>
      <c r="C46" s="105" t="s">
        <v>76</v>
      </c>
      <c r="D46" s="111">
        <f>D45/$B$45</f>
        <v>0.11049792</v>
      </c>
      <c r="E46" s="112"/>
      <c r="F46" s="113">
        <f>F45/$B$45</f>
        <v>0.11279008</v>
      </c>
      <c r="H46" s="102"/>
    </row>
    <row r="47" spans="1:14" ht="27" customHeight="1" x14ac:dyDescent="0.4">
      <c r="A47" s="536"/>
      <c r="B47" s="537"/>
      <c r="C47" s="114" t="s">
        <v>77</v>
      </c>
      <c r="D47" s="115">
        <v>0.12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15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28407138.877519399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1.595613870645736E-2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tablet contains Tenofovir Disoproxil Fumarate 300mg, Lamivudine 300mg</v>
      </c>
    </row>
    <row r="56" spans="1:12" ht="26.25" customHeight="1" x14ac:dyDescent="0.4">
      <c r="A56" s="129" t="s">
        <v>84</v>
      </c>
      <c r="B56" s="130">
        <v>300</v>
      </c>
      <c r="C56" s="51" t="str">
        <f>B20</f>
        <v xml:space="preserve">TENOFOVIR DISOPROXIL FUMARATE/LAMIVUDINE </v>
      </c>
      <c r="H56" s="131"/>
    </row>
    <row r="57" spans="1:12" ht="18.75" x14ac:dyDescent="0.3">
      <c r="A57" s="128" t="s">
        <v>85</v>
      </c>
      <c r="B57" s="220">
        <f>Uniformity!C46</f>
        <v>868.00200000000007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200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2</v>
      </c>
      <c r="C60" s="538" t="s">
        <v>91</v>
      </c>
      <c r="D60" s="541">
        <v>867.52</v>
      </c>
      <c r="E60" s="134">
        <v>1</v>
      </c>
      <c r="F60" s="135"/>
      <c r="G60" s="221" t="str">
        <f>IF(ISBLANK(F60),"-",(F60/$D$50*$D$47*$B$68)*($B$57/$D$60))</f>
        <v>-</v>
      </c>
      <c r="H60" s="136" t="str">
        <f t="shared" ref="H60:H71" si="0">IF(ISBLANK(F60),"-",G60/$B$56)</f>
        <v>-</v>
      </c>
      <c r="L60" s="64"/>
    </row>
    <row r="61" spans="1:12" s="3" customFormat="1" ht="26.25" customHeight="1" x14ac:dyDescent="0.4">
      <c r="A61" s="76" t="s">
        <v>92</v>
      </c>
      <c r="B61" s="77">
        <v>25</v>
      </c>
      <c r="C61" s="539"/>
      <c r="D61" s="542"/>
      <c r="E61" s="137">
        <v>2</v>
      </c>
      <c r="F61" s="89"/>
      <c r="G61" s="222" t="str">
        <f>IF(ISBLANK(F61),"-",(F61/$D$50*$D$47*$B$68)*($B$57/$D$60))</f>
        <v>-</v>
      </c>
      <c r="H61" s="138" t="str">
        <f t="shared" si="0"/>
        <v>-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539"/>
      <c r="D62" s="542"/>
      <c r="E62" s="137">
        <v>3</v>
      </c>
      <c r="F62" s="139"/>
      <c r="G62" s="222" t="str">
        <f>IF(ISBLANK(F62),"-",(F62/$D$50*$D$47*$B$68)*($B$57/$D$60))</f>
        <v>-</v>
      </c>
      <c r="H62" s="138" t="str">
        <f t="shared" si="0"/>
        <v>-</v>
      </c>
      <c r="L62" s="64"/>
    </row>
    <row r="63" spans="1:12" ht="27" customHeight="1" x14ac:dyDescent="0.4">
      <c r="A63" s="76" t="s">
        <v>94</v>
      </c>
      <c r="B63" s="77">
        <v>1</v>
      </c>
      <c r="C63" s="540"/>
      <c r="D63" s="543"/>
      <c r="E63" s="140">
        <v>4</v>
      </c>
      <c r="F63" s="141"/>
      <c r="G63" s="222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538" t="s">
        <v>96</v>
      </c>
      <c r="D64" s="541">
        <v>861.96</v>
      </c>
      <c r="E64" s="134">
        <v>1</v>
      </c>
      <c r="F64" s="135">
        <v>25925871</v>
      </c>
      <c r="G64" s="223">
        <f>IF(ISBLANK(F64),"-",(F64/$D$50*$D$47*$B$68)*($B$57/$D$64))</f>
        <v>275.71521286093815</v>
      </c>
      <c r="H64" s="142">
        <f t="shared" si="0"/>
        <v>0.91905070953646051</v>
      </c>
    </row>
    <row r="65" spans="1:8" ht="26.25" customHeight="1" x14ac:dyDescent="0.4">
      <c r="A65" s="76" t="s">
        <v>97</v>
      </c>
      <c r="B65" s="77">
        <v>1</v>
      </c>
      <c r="C65" s="539"/>
      <c r="D65" s="542"/>
      <c r="E65" s="137">
        <v>2</v>
      </c>
      <c r="F65" s="89">
        <v>26090499</v>
      </c>
      <c r="G65" s="224">
        <f>IF(ISBLANK(F65),"-",(F65/$D$50*$D$47*$B$68)*($B$57/$D$64))</f>
        <v>277.46599084108283</v>
      </c>
      <c r="H65" s="143">
        <f t="shared" si="0"/>
        <v>0.92488663613694277</v>
      </c>
    </row>
    <row r="66" spans="1:8" ht="26.25" customHeight="1" x14ac:dyDescent="0.4">
      <c r="A66" s="76" t="s">
        <v>98</v>
      </c>
      <c r="B66" s="77">
        <v>1</v>
      </c>
      <c r="C66" s="539"/>
      <c r="D66" s="542"/>
      <c r="E66" s="137">
        <v>3</v>
      </c>
      <c r="F66" s="89">
        <v>25577356</v>
      </c>
      <c r="G66" s="224">
        <f>IF(ISBLANK(F66),"-",(F66/$D$50*$D$47*$B$68)*($B$57/$D$64))</f>
        <v>272.00884220861832</v>
      </c>
      <c r="H66" s="143">
        <f t="shared" si="0"/>
        <v>0.90669614069539439</v>
      </c>
    </row>
    <row r="67" spans="1:8" ht="27" customHeight="1" x14ac:dyDescent="0.4">
      <c r="A67" s="76" t="s">
        <v>99</v>
      </c>
      <c r="B67" s="77">
        <v>1</v>
      </c>
      <c r="C67" s="540"/>
      <c r="D67" s="543"/>
      <c r="E67" s="140">
        <v>4</v>
      </c>
      <c r="F67" s="141"/>
      <c r="G67" s="225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2500</v>
      </c>
      <c r="C68" s="538" t="s">
        <v>101</v>
      </c>
      <c r="D68" s="541">
        <v>868.69</v>
      </c>
      <c r="E68" s="134">
        <v>1</v>
      </c>
      <c r="F68" s="135">
        <v>26140694</v>
      </c>
      <c r="G68" s="223">
        <f>IF(ISBLANK(F68),"-",(F68/$D$50*$D$47*$B$68)*($B$57/$D$68))</f>
        <v>275.84605501032331</v>
      </c>
      <c r="H68" s="138">
        <f t="shared" si="0"/>
        <v>0.919486850034411</v>
      </c>
    </row>
    <row r="69" spans="1:8" ht="27" customHeight="1" x14ac:dyDescent="0.4">
      <c r="A69" s="124" t="s">
        <v>102</v>
      </c>
      <c r="B69" s="146">
        <f>(D47*B68)/B56*B57</f>
        <v>868.00200000000007</v>
      </c>
      <c r="C69" s="539"/>
      <c r="D69" s="542"/>
      <c r="E69" s="137">
        <v>2</v>
      </c>
      <c r="F69" s="89">
        <v>25841421</v>
      </c>
      <c r="G69" s="224">
        <f>IF(ISBLANK(F69),"-",(F69/$D$50*$D$47*$B$68)*($B$57/$D$68))</f>
        <v>272.68801810353335</v>
      </c>
      <c r="H69" s="138">
        <f t="shared" si="0"/>
        <v>0.90896006034511112</v>
      </c>
    </row>
    <row r="70" spans="1:8" ht="26.25" customHeight="1" x14ac:dyDescent="0.4">
      <c r="A70" s="551" t="s">
        <v>75</v>
      </c>
      <c r="B70" s="552"/>
      <c r="C70" s="539"/>
      <c r="D70" s="542"/>
      <c r="E70" s="137">
        <v>3</v>
      </c>
      <c r="F70" s="89">
        <v>25723832</v>
      </c>
      <c r="G70" s="224">
        <f>IF(ISBLANK(F70),"-",(F70/$D$50*$D$47*$B$68)*($B$57/$D$68))</f>
        <v>271.44717645783686</v>
      </c>
      <c r="H70" s="138">
        <f t="shared" si="0"/>
        <v>0.9048239215261229</v>
      </c>
    </row>
    <row r="71" spans="1:8" ht="27" customHeight="1" x14ac:dyDescent="0.4">
      <c r="A71" s="553"/>
      <c r="B71" s="554"/>
      <c r="C71" s="550"/>
      <c r="D71" s="543"/>
      <c r="E71" s="140">
        <v>4</v>
      </c>
      <c r="F71" s="141"/>
      <c r="G71" s="225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68</v>
      </c>
      <c r="G72" s="230">
        <f>AVERAGE(G60:G71)</f>
        <v>274.19521591372217</v>
      </c>
      <c r="H72" s="151">
        <f>AVERAGE(H60:H71)</f>
        <v>0.91398405304574037</v>
      </c>
    </row>
    <row r="73" spans="1:8" ht="26.25" customHeight="1" x14ac:dyDescent="0.4">
      <c r="C73" s="148"/>
      <c r="D73" s="148"/>
      <c r="E73" s="148"/>
      <c r="F73" s="152" t="s">
        <v>81</v>
      </c>
      <c r="G73" s="226">
        <f>STDEV(G60:G71)/G72</f>
        <v>8.9834478710669099E-3</v>
      </c>
      <c r="H73" s="226">
        <f>STDEV(H60:H71)/H72</f>
        <v>8.9834478710669099E-3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6</v>
      </c>
      <c r="H74" s="155">
        <f>COUNT(H60:H71)</f>
        <v>6</v>
      </c>
    </row>
    <row r="76" spans="1:8" ht="26.25" customHeight="1" x14ac:dyDescent="0.4">
      <c r="A76" s="60" t="s">
        <v>103</v>
      </c>
      <c r="B76" s="156" t="s">
        <v>104</v>
      </c>
      <c r="C76" s="546" t="str">
        <f>B20</f>
        <v xml:space="preserve">TENOFOVIR DISOPROXIL FUMARATE/LAMIVUDINE </v>
      </c>
      <c r="D76" s="546"/>
      <c r="E76" s="157" t="s">
        <v>105</v>
      </c>
      <c r="F76" s="157"/>
      <c r="G76" s="158">
        <f>H72</f>
        <v>0.91398405304574037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532" t="str">
        <f>B26</f>
        <v xml:space="preserve">TENOFOVIR DISOPROXIL FUMARATE/LAMIVUDINE </v>
      </c>
      <c r="C79" s="532"/>
    </row>
    <row r="80" spans="1:8" ht="26.25" customHeight="1" x14ac:dyDescent="0.4">
      <c r="A80" s="61" t="s">
        <v>45</v>
      </c>
      <c r="B80" s="532" t="str">
        <f>B27</f>
        <v>T11-8</v>
      </c>
      <c r="C80" s="532"/>
    </row>
    <row r="81" spans="1:12" ht="27" customHeight="1" x14ac:dyDescent="0.4">
      <c r="A81" s="61" t="s">
        <v>6</v>
      </c>
      <c r="B81" s="160">
        <v>98.8</v>
      </c>
    </row>
    <row r="82" spans="1:12" s="3" customFormat="1" ht="27" customHeight="1" x14ac:dyDescent="0.4">
      <c r="A82" s="61" t="s">
        <v>46</v>
      </c>
      <c r="B82" s="63">
        <v>0</v>
      </c>
      <c r="C82" s="523" t="s">
        <v>47</v>
      </c>
      <c r="D82" s="524"/>
      <c r="E82" s="524"/>
      <c r="F82" s="524"/>
      <c r="G82" s="525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98.8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526" t="s">
        <v>108</v>
      </c>
      <c r="D84" s="527"/>
      <c r="E84" s="527"/>
      <c r="F84" s="527"/>
      <c r="G84" s="527"/>
      <c r="H84" s="528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526" t="s">
        <v>109</v>
      </c>
      <c r="D85" s="527"/>
      <c r="E85" s="527"/>
      <c r="F85" s="527"/>
      <c r="G85" s="527"/>
      <c r="H85" s="52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50</v>
      </c>
      <c r="D89" s="161" t="s">
        <v>56</v>
      </c>
      <c r="E89" s="162"/>
      <c r="F89" s="529" t="s">
        <v>57</v>
      </c>
      <c r="G89" s="531"/>
    </row>
    <row r="90" spans="1:12" ht="27" customHeight="1" x14ac:dyDescent="0.4">
      <c r="A90" s="76" t="s">
        <v>58</v>
      </c>
      <c r="B90" s="77">
        <v>1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</v>
      </c>
      <c r="C91" s="165">
        <v>1</v>
      </c>
      <c r="D91" s="84">
        <v>69923567</v>
      </c>
      <c r="E91" s="85">
        <f>IF(ISBLANK(D91),"-",$D$101/$D$98*D91)</f>
        <v>73875617.007429451</v>
      </c>
      <c r="F91" s="84">
        <v>74974527</v>
      </c>
      <c r="G91" s="86">
        <f>IF(ISBLANK(F91),"-",$D$101/$F$98*F91)</f>
        <v>74788254.387738273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89">
        <v>70256073</v>
      </c>
      <c r="E92" s="90">
        <f>IF(ISBLANK(D92),"-",$D$101/$D$98*D92)</f>
        <v>74226916.103893906</v>
      </c>
      <c r="F92" s="89">
        <v>75086769</v>
      </c>
      <c r="G92" s="91">
        <f>IF(ISBLANK(F92),"-",$D$101/$F$98*F92)</f>
        <v>74900217.524884686</v>
      </c>
      <c r="I92" s="533">
        <f>ABS((F96/D96*D95)-F95)/D95</f>
        <v>1.1931851301565875E-2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89">
        <v>69904126</v>
      </c>
      <c r="E93" s="90">
        <f>IF(ISBLANK(D93),"-",$D$101/$D$98*D93)</f>
        <v>73855077.210450247</v>
      </c>
      <c r="F93" s="89">
        <v>74955825</v>
      </c>
      <c r="G93" s="91">
        <f>IF(ISBLANK(F93),"-",$D$101/$F$98*F93)</f>
        <v>74769598.852458134</v>
      </c>
      <c r="I93" s="533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70027922</v>
      </c>
      <c r="E95" s="100">
        <f>AVERAGE(E91:E94)</f>
        <v>73985870.107257858</v>
      </c>
      <c r="F95" s="170">
        <f>AVERAGE(F91:F94)</f>
        <v>75005707</v>
      </c>
      <c r="G95" s="171">
        <f>AVERAGE(G91:G94)</f>
        <v>74819356.921693698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14.37</v>
      </c>
      <c r="E96" s="92"/>
      <c r="F96" s="104">
        <v>15.22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14.37</v>
      </c>
      <c r="E97" s="107"/>
      <c r="F97" s="106">
        <f>F96*$B$87</f>
        <v>15.22</v>
      </c>
    </row>
    <row r="98" spans="1:10" ht="19.5" customHeight="1" x14ac:dyDescent="0.3">
      <c r="A98" s="76" t="s">
        <v>73</v>
      </c>
      <c r="B98" s="176">
        <f>(B97/B96)*(B95/B94)*(B93/B92)*(B91/B90)*B89</f>
        <v>50</v>
      </c>
      <c r="C98" s="174" t="s">
        <v>112</v>
      </c>
      <c r="D98" s="177">
        <f>D97*$B$83/100</f>
        <v>14.197559999999999</v>
      </c>
      <c r="E98" s="110"/>
      <c r="F98" s="109">
        <f>F97*$B$83/100</f>
        <v>15.037360000000001</v>
      </c>
    </row>
    <row r="99" spans="1:10" ht="19.5" customHeight="1" x14ac:dyDescent="0.3">
      <c r="A99" s="534" t="s">
        <v>75</v>
      </c>
      <c r="B99" s="548"/>
      <c r="C99" s="174" t="s">
        <v>113</v>
      </c>
      <c r="D99" s="178">
        <f>D98/$B$98</f>
        <v>0.28395119999999996</v>
      </c>
      <c r="E99" s="110"/>
      <c r="F99" s="113">
        <f>F98/$B$98</f>
        <v>0.30074720000000005</v>
      </c>
      <c r="G99" s="179"/>
      <c r="H99" s="102"/>
    </row>
    <row r="100" spans="1:10" ht="19.5" customHeight="1" x14ac:dyDescent="0.3">
      <c r="A100" s="536"/>
      <c r="B100" s="549"/>
      <c r="C100" s="174" t="s">
        <v>77</v>
      </c>
      <c r="D100" s="180">
        <f>$B$56/$B$116</f>
        <v>0.3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15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15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74402613.514475778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6.4160019946681579E-3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1000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1</v>
      </c>
      <c r="C108" s="195">
        <v>1</v>
      </c>
      <c r="D108" s="196">
        <v>72584511</v>
      </c>
      <c r="E108" s="227">
        <f t="shared" ref="E108:E113" si="1">IF(ISBLANK(D108),"-",D108/$D$103*$D$100*$B$116)</f>
        <v>292.66919898940631</v>
      </c>
      <c r="F108" s="197">
        <f t="shared" ref="F108:F113" si="2">IF(ISBLANK(D108), "-", E108/$B$56)</f>
        <v>0.9755639966313544</v>
      </c>
    </row>
    <row r="109" spans="1:10" ht="26.25" customHeight="1" x14ac:dyDescent="0.4">
      <c r="A109" s="76" t="s">
        <v>92</v>
      </c>
      <c r="B109" s="77">
        <v>1</v>
      </c>
      <c r="C109" s="195">
        <v>2</v>
      </c>
      <c r="D109" s="196">
        <v>75440921</v>
      </c>
      <c r="E109" s="228">
        <f t="shared" si="1"/>
        <v>304.1865766663783</v>
      </c>
      <c r="F109" s="198">
        <f t="shared" si="2"/>
        <v>1.0139552555545943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74063747</v>
      </c>
      <c r="E110" s="228">
        <f t="shared" si="1"/>
        <v>298.63365076116645</v>
      </c>
      <c r="F110" s="198">
        <f t="shared" si="2"/>
        <v>0.99544550253722153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75479638</v>
      </c>
      <c r="E111" s="228">
        <f t="shared" si="1"/>
        <v>304.34268811799734</v>
      </c>
      <c r="F111" s="198">
        <f t="shared" si="2"/>
        <v>1.0144756270599911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73865607</v>
      </c>
      <c r="E112" s="228">
        <f t="shared" si="1"/>
        <v>297.83472721275587</v>
      </c>
      <c r="F112" s="198">
        <f t="shared" si="2"/>
        <v>0.9927824240425196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72443259</v>
      </c>
      <c r="E113" s="229">
        <f t="shared" si="1"/>
        <v>292.09965448016999</v>
      </c>
      <c r="F113" s="201">
        <f t="shared" si="2"/>
        <v>0.97366551493389997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 t="s">
        <v>68</v>
      </c>
      <c r="E115" s="231">
        <f>AVERAGE(E108:E113)</f>
        <v>298.29441603797903</v>
      </c>
      <c r="F115" s="204">
        <f>AVERAGE(F108:F113)</f>
        <v>0.99431472012659672</v>
      </c>
    </row>
    <row r="116" spans="1:10" ht="27" customHeight="1" x14ac:dyDescent="0.4">
      <c r="A116" s="76" t="s">
        <v>100</v>
      </c>
      <c r="B116" s="108">
        <f>(B115/B114)*(B113/B112)*(B111/B110)*(B109/B108)*B107</f>
        <v>1000</v>
      </c>
      <c r="C116" s="205"/>
      <c r="D116" s="168" t="s">
        <v>81</v>
      </c>
      <c r="E116" s="206">
        <f>STDEV(E108:E113)/E115</f>
        <v>1.7843024859517623E-2</v>
      </c>
      <c r="F116" s="206">
        <f>STDEV(F108:F113)/F115</f>
        <v>1.7843024859517595E-2</v>
      </c>
      <c r="I116" s="50"/>
    </row>
    <row r="117" spans="1:10" ht="27" customHeight="1" x14ac:dyDescent="0.4">
      <c r="A117" s="534" t="s">
        <v>75</v>
      </c>
      <c r="B117" s="535"/>
      <c r="C117" s="207"/>
      <c r="D117" s="208" t="s">
        <v>20</v>
      </c>
      <c r="E117" s="209">
        <f>COUNT(E108:E113)</f>
        <v>6</v>
      </c>
      <c r="F117" s="209">
        <f>COUNT(F108:F113)</f>
        <v>6</v>
      </c>
      <c r="I117" s="50"/>
      <c r="J117" s="188"/>
    </row>
    <row r="118" spans="1:10" ht="19.5" customHeight="1" x14ac:dyDescent="0.3">
      <c r="A118" s="536"/>
      <c r="B118" s="537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8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546" t="str">
        <f>B20</f>
        <v xml:space="preserve">TENOFOVIR DISOPROXIL FUMARATE/LAMIVUDINE </v>
      </c>
      <c r="D120" s="546"/>
      <c r="E120" s="157" t="s">
        <v>121</v>
      </c>
      <c r="F120" s="157"/>
      <c r="G120" s="158">
        <f>F115</f>
        <v>0.99431472012659672</v>
      </c>
      <c r="H120" s="50"/>
      <c r="I120" s="50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547" t="s">
        <v>23</v>
      </c>
      <c r="C122" s="547"/>
      <c r="E122" s="163" t="s">
        <v>24</v>
      </c>
      <c r="F122" s="212"/>
      <c r="G122" s="547" t="s">
        <v>25</v>
      </c>
      <c r="H122" s="547"/>
    </row>
    <row r="123" spans="1:10" ht="69.95" customHeight="1" x14ac:dyDescent="0.3">
      <c r="A123" s="213" t="s">
        <v>26</v>
      </c>
      <c r="B123" s="214"/>
      <c r="C123" s="214"/>
      <c r="E123" s="214"/>
      <c r="F123" s="50"/>
      <c r="G123" s="215"/>
      <c r="H123" s="215"/>
    </row>
    <row r="124" spans="1:10" ht="69.95" customHeight="1" x14ac:dyDescent="0.3">
      <c r="A124" s="213" t="s">
        <v>27</v>
      </c>
      <c r="B124" s="216"/>
      <c r="C124" s="216"/>
      <c r="E124" s="216"/>
      <c r="F124" s="50"/>
      <c r="G124" s="217"/>
      <c r="H124" s="217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56" zoomScale="50" zoomScaleNormal="40" zoomScalePageLayoutView="50" workbookViewId="0">
      <selection activeCell="H77" sqref="H7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4" t="s">
        <v>42</v>
      </c>
      <c r="B1" s="544"/>
      <c r="C1" s="544"/>
      <c r="D1" s="544"/>
      <c r="E1" s="544"/>
      <c r="F1" s="544"/>
      <c r="G1" s="544"/>
      <c r="H1" s="544"/>
      <c r="I1" s="544"/>
    </row>
    <row r="2" spans="1:9" ht="18.75" customHeight="1" x14ac:dyDescent="0.25">
      <c r="A2" s="544"/>
      <c r="B2" s="544"/>
      <c r="C2" s="544"/>
      <c r="D2" s="544"/>
      <c r="E2" s="544"/>
      <c r="F2" s="544"/>
      <c r="G2" s="544"/>
      <c r="H2" s="544"/>
      <c r="I2" s="544"/>
    </row>
    <row r="3" spans="1:9" ht="18.75" customHeight="1" x14ac:dyDescent="0.25">
      <c r="A3" s="544"/>
      <c r="B3" s="544"/>
      <c r="C3" s="544"/>
      <c r="D3" s="544"/>
      <c r="E3" s="544"/>
      <c r="F3" s="544"/>
      <c r="G3" s="544"/>
      <c r="H3" s="544"/>
      <c r="I3" s="544"/>
    </row>
    <row r="4" spans="1:9" ht="18.75" customHeight="1" x14ac:dyDescent="0.25">
      <c r="A4" s="544"/>
      <c r="B4" s="544"/>
      <c r="C4" s="544"/>
      <c r="D4" s="544"/>
      <c r="E4" s="544"/>
      <c r="F4" s="544"/>
      <c r="G4" s="544"/>
      <c r="H4" s="544"/>
      <c r="I4" s="544"/>
    </row>
    <row r="5" spans="1:9" ht="18.75" customHeight="1" x14ac:dyDescent="0.25">
      <c r="A5" s="544"/>
      <c r="B5" s="544"/>
      <c r="C5" s="544"/>
      <c r="D5" s="544"/>
      <c r="E5" s="544"/>
      <c r="F5" s="544"/>
      <c r="G5" s="544"/>
      <c r="H5" s="544"/>
      <c r="I5" s="544"/>
    </row>
    <row r="6" spans="1:9" ht="18.75" customHeight="1" x14ac:dyDescent="0.25">
      <c r="A6" s="544"/>
      <c r="B6" s="544"/>
      <c r="C6" s="544"/>
      <c r="D6" s="544"/>
      <c r="E6" s="544"/>
      <c r="F6" s="544"/>
      <c r="G6" s="544"/>
      <c r="H6" s="544"/>
      <c r="I6" s="544"/>
    </row>
    <row r="7" spans="1:9" ht="18.75" customHeight="1" x14ac:dyDescent="0.25">
      <c r="A7" s="544"/>
      <c r="B7" s="544"/>
      <c r="C7" s="544"/>
      <c r="D7" s="544"/>
      <c r="E7" s="544"/>
      <c r="F7" s="544"/>
      <c r="G7" s="544"/>
      <c r="H7" s="544"/>
      <c r="I7" s="544"/>
    </row>
    <row r="8" spans="1:9" x14ac:dyDescent="0.25">
      <c r="A8" s="545" t="s">
        <v>43</v>
      </c>
      <c r="B8" s="545"/>
      <c r="C8" s="545"/>
      <c r="D8" s="545"/>
      <c r="E8" s="545"/>
      <c r="F8" s="545"/>
      <c r="G8" s="545"/>
      <c r="H8" s="545"/>
      <c r="I8" s="545"/>
    </row>
    <row r="9" spans="1:9" x14ac:dyDescent="0.25">
      <c r="A9" s="545"/>
      <c r="B9" s="545"/>
      <c r="C9" s="545"/>
      <c r="D9" s="545"/>
      <c r="E9" s="545"/>
      <c r="F9" s="545"/>
      <c r="G9" s="545"/>
      <c r="H9" s="545"/>
      <c r="I9" s="545"/>
    </row>
    <row r="10" spans="1:9" x14ac:dyDescent="0.25">
      <c r="A10" s="545"/>
      <c r="B10" s="545"/>
      <c r="C10" s="545"/>
      <c r="D10" s="545"/>
      <c r="E10" s="545"/>
      <c r="F10" s="545"/>
      <c r="G10" s="545"/>
      <c r="H10" s="545"/>
      <c r="I10" s="545"/>
    </row>
    <row r="11" spans="1:9" x14ac:dyDescent="0.25">
      <c r="A11" s="545"/>
      <c r="B11" s="545"/>
      <c r="C11" s="545"/>
      <c r="D11" s="545"/>
      <c r="E11" s="545"/>
      <c r="F11" s="545"/>
      <c r="G11" s="545"/>
      <c r="H11" s="545"/>
      <c r="I11" s="545"/>
    </row>
    <row r="12" spans="1:9" x14ac:dyDescent="0.25">
      <c r="A12" s="545"/>
      <c r="B12" s="545"/>
      <c r="C12" s="545"/>
      <c r="D12" s="545"/>
      <c r="E12" s="545"/>
      <c r="F12" s="545"/>
      <c r="G12" s="545"/>
      <c r="H12" s="545"/>
      <c r="I12" s="545"/>
    </row>
    <row r="13" spans="1:9" x14ac:dyDescent="0.25">
      <c r="A13" s="545"/>
      <c r="B13" s="545"/>
      <c r="C13" s="545"/>
      <c r="D13" s="545"/>
      <c r="E13" s="545"/>
      <c r="F13" s="545"/>
      <c r="G13" s="545"/>
      <c r="H13" s="545"/>
      <c r="I13" s="545"/>
    </row>
    <row r="14" spans="1:9" x14ac:dyDescent="0.25">
      <c r="A14" s="545"/>
      <c r="B14" s="545"/>
      <c r="C14" s="545"/>
      <c r="D14" s="545"/>
      <c r="E14" s="545"/>
      <c r="F14" s="545"/>
      <c r="G14" s="545"/>
      <c r="H14" s="545"/>
      <c r="I14" s="545"/>
    </row>
    <row r="15" spans="1:9" ht="19.5" customHeight="1" x14ac:dyDescent="0.3">
      <c r="A15" s="233"/>
    </row>
    <row r="16" spans="1:9" ht="19.5" customHeight="1" x14ac:dyDescent="0.3">
      <c r="A16" s="517" t="s">
        <v>28</v>
      </c>
      <c r="B16" s="518"/>
      <c r="C16" s="518"/>
      <c r="D16" s="518"/>
      <c r="E16" s="518"/>
      <c r="F16" s="518"/>
      <c r="G16" s="518"/>
      <c r="H16" s="519"/>
    </row>
    <row r="17" spans="1:14" ht="20.25" customHeight="1" x14ac:dyDescent="0.25">
      <c r="A17" s="520" t="s">
        <v>44</v>
      </c>
      <c r="B17" s="520"/>
      <c r="C17" s="520"/>
      <c r="D17" s="520"/>
      <c r="E17" s="520"/>
      <c r="F17" s="520"/>
      <c r="G17" s="520"/>
      <c r="H17" s="520"/>
    </row>
    <row r="18" spans="1:14" ht="26.25" customHeight="1" x14ac:dyDescent="0.4">
      <c r="A18" s="235" t="s">
        <v>30</v>
      </c>
      <c r="B18" s="516" t="s">
        <v>5</v>
      </c>
      <c r="C18" s="516"/>
      <c r="D18" s="401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7</v>
      </c>
      <c r="C19" s="414">
        <v>29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521" t="s">
        <v>123</v>
      </c>
      <c r="C20" s="521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521" t="s">
        <v>11</v>
      </c>
      <c r="C21" s="521"/>
      <c r="D21" s="521"/>
      <c r="E21" s="521"/>
      <c r="F21" s="521"/>
      <c r="G21" s="521"/>
      <c r="H21" s="521"/>
      <c r="I21" s="239"/>
    </row>
    <row r="22" spans="1:14" ht="26.25" customHeight="1" x14ac:dyDescent="0.4">
      <c r="A22" s="235" t="s">
        <v>34</v>
      </c>
      <c r="B22" s="240">
        <v>42634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>
        <v>42688</v>
      </c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516" t="s">
        <v>123</v>
      </c>
      <c r="C26" s="516"/>
    </row>
    <row r="27" spans="1:14" ht="26.25" customHeight="1" x14ac:dyDescent="0.4">
      <c r="A27" s="244" t="s">
        <v>45</v>
      </c>
      <c r="B27" s="522" t="s">
        <v>124</v>
      </c>
      <c r="C27" s="522"/>
    </row>
    <row r="28" spans="1:14" ht="27" customHeight="1" x14ac:dyDescent="0.4">
      <c r="A28" s="244" t="s">
        <v>6</v>
      </c>
      <c r="B28" s="245">
        <v>99.3</v>
      </c>
    </row>
    <row r="29" spans="1:14" s="3" customFormat="1" ht="27" customHeight="1" x14ac:dyDescent="0.4">
      <c r="A29" s="244" t="s">
        <v>46</v>
      </c>
      <c r="B29" s="246">
        <v>0</v>
      </c>
      <c r="C29" s="523" t="s">
        <v>47</v>
      </c>
      <c r="D29" s="524"/>
      <c r="E29" s="524"/>
      <c r="F29" s="524"/>
      <c r="G29" s="525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99.3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526" t="s">
        <v>50</v>
      </c>
      <c r="D31" s="527"/>
      <c r="E31" s="527"/>
      <c r="F31" s="527"/>
      <c r="G31" s="527"/>
      <c r="H31" s="528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526" t="s">
        <v>52</v>
      </c>
      <c r="D32" s="527"/>
      <c r="E32" s="527"/>
      <c r="F32" s="527"/>
      <c r="G32" s="527"/>
      <c r="H32" s="528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50</v>
      </c>
      <c r="C36" s="234"/>
      <c r="D36" s="529" t="s">
        <v>56</v>
      </c>
      <c r="E36" s="530"/>
      <c r="F36" s="529" t="s">
        <v>57</v>
      </c>
      <c r="G36" s="531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10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25</v>
      </c>
      <c r="C38" s="266">
        <v>1</v>
      </c>
      <c r="D38" s="267">
        <v>86973335</v>
      </c>
      <c r="E38" s="268">
        <f>IF(ISBLANK(D38),"-",$D$48/$D$45*D38)</f>
        <v>73602050.48786886</v>
      </c>
      <c r="F38" s="267">
        <v>73753629</v>
      </c>
      <c r="G38" s="269">
        <f>IF(ISBLANK(F38),"-",$D$48/$F$45*F38)</f>
        <v>75532417.430488005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86930636</v>
      </c>
      <c r="E39" s="273">
        <f>IF(ISBLANK(D39),"-",$D$48/$D$45*D39)</f>
        <v>73565916.034087345</v>
      </c>
      <c r="F39" s="272">
        <v>74147100</v>
      </c>
      <c r="G39" s="274">
        <f>IF(ISBLANK(F39),"-",$D$48/$F$45*F39)</f>
        <v>75935378.155563533</v>
      </c>
      <c r="I39" s="533">
        <f>ABS((F43/D43*D42)-F42)/D42</f>
        <v>2.4615191636853367E-2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86924071</v>
      </c>
      <c r="E40" s="273">
        <f>IF(ISBLANK(D40),"-",$D$48/$D$45*D40)</f>
        <v>73560360.337488472</v>
      </c>
      <c r="F40" s="272">
        <v>74049778</v>
      </c>
      <c r="G40" s="274">
        <f>IF(ISBLANK(F40),"-",$D$48/$F$45*F40)</f>
        <v>75835708.945670545</v>
      </c>
      <c r="I40" s="533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86942680.666666672</v>
      </c>
      <c r="E42" s="283">
        <f>AVERAGE(E38:E41)</f>
        <v>73576108.953148231</v>
      </c>
      <c r="F42" s="282">
        <f>AVERAGE(F38:F41)</f>
        <v>73983502.333333328</v>
      </c>
      <c r="G42" s="284">
        <f>AVERAGE(G38:G41)</f>
        <v>75767834.843907356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17.850000000000001</v>
      </c>
      <c r="E43" s="275"/>
      <c r="F43" s="287">
        <v>14.75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17.850000000000001</v>
      </c>
      <c r="E44" s="290"/>
      <c r="F44" s="289">
        <f>F43*$B$34</f>
        <v>14.75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125</v>
      </c>
      <c r="C45" s="288" t="s">
        <v>74</v>
      </c>
      <c r="D45" s="292">
        <f>D44*$B$30/100</f>
        <v>17.72505</v>
      </c>
      <c r="E45" s="293"/>
      <c r="F45" s="292">
        <f>F44*$B$30/100</f>
        <v>14.646749999999999</v>
      </c>
      <c r="H45" s="285"/>
    </row>
    <row r="46" spans="1:14" ht="19.5" customHeight="1" x14ac:dyDescent="0.3">
      <c r="A46" s="534" t="s">
        <v>75</v>
      </c>
      <c r="B46" s="535"/>
      <c r="C46" s="288" t="s">
        <v>76</v>
      </c>
      <c r="D46" s="294">
        <f>D45/$B$45</f>
        <v>0.14180039999999999</v>
      </c>
      <c r="E46" s="295"/>
      <c r="F46" s="296">
        <f>F45/$B$45</f>
        <v>0.11717399999999999</v>
      </c>
      <c r="H46" s="285"/>
    </row>
    <row r="47" spans="1:14" ht="27" customHeight="1" x14ac:dyDescent="0.4">
      <c r="A47" s="536"/>
      <c r="B47" s="537"/>
      <c r="C47" s="297" t="s">
        <v>77</v>
      </c>
      <c r="D47" s="298">
        <v>0.12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15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15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74671971.898527786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1.6175534440239066E-2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Each tablet contains Tenofovir Disoproxil Fumarate 300mg, Lamivudine 300mg</v>
      </c>
    </row>
    <row r="56" spans="1:12" ht="26.25" customHeight="1" x14ac:dyDescent="0.4">
      <c r="A56" s="312" t="s">
        <v>84</v>
      </c>
      <c r="B56" s="313">
        <v>300</v>
      </c>
      <c r="C56" s="234" t="str">
        <f>B20</f>
        <v>Lamivudine</v>
      </c>
      <c r="H56" s="314"/>
    </row>
    <row r="57" spans="1:12" ht="18.75" x14ac:dyDescent="0.3">
      <c r="A57" s="311" t="s">
        <v>85</v>
      </c>
      <c r="B57" s="402">
        <f>Uniformity!C46</f>
        <v>868.00200000000007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258">
        <v>200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thickBot="1" x14ac:dyDescent="0.45">
      <c r="A60" s="259" t="s">
        <v>90</v>
      </c>
      <c r="B60" s="260">
        <v>2</v>
      </c>
      <c r="C60" s="538" t="s">
        <v>91</v>
      </c>
      <c r="D60" s="541">
        <f>'Tenofovir Disoproxil Fumarate'!D60:D63</f>
        <v>867.52</v>
      </c>
      <c r="E60" s="317">
        <v>1</v>
      </c>
      <c r="F60" s="318">
        <v>74271324</v>
      </c>
      <c r="G60" s="403">
        <f>IF(ISBLANK(F60),"-",(F60/$D$50*$D$47*$B$68)*($B$57/$D$60))</f>
        <v>298.55615606089737</v>
      </c>
      <c r="H60" s="319">
        <f t="shared" ref="H60:H71" si="0">IF(ISBLANK(F60),"-",G60/$B$56)</f>
        <v>0.9951871868696579</v>
      </c>
      <c r="L60" s="247"/>
    </row>
    <row r="61" spans="1:12" s="3" customFormat="1" ht="26.25" customHeight="1" thickBot="1" x14ac:dyDescent="0.45">
      <c r="A61" s="259" t="s">
        <v>92</v>
      </c>
      <c r="B61" s="260">
        <v>25</v>
      </c>
      <c r="C61" s="539"/>
      <c r="D61" s="542"/>
      <c r="E61" s="320">
        <v>2</v>
      </c>
      <c r="F61" s="318">
        <v>74023579</v>
      </c>
      <c r="G61" s="404">
        <f>IF(ISBLANK(F61),"-",(F61/$D$50*$D$47*$B$68)*($B$57/$D$60))</f>
        <v>297.5602697497377</v>
      </c>
      <c r="H61" s="321">
        <f t="shared" si="0"/>
        <v>0.99186756583245905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539"/>
      <c r="D62" s="542"/>
      <c r="E62" s="320">
        <v>3</v>
      </c>
      <c r="F62" s="318">
        <v>74331255</v>
      </c>
      <c r="G62" s="404">
        <f>IF(ISBLANK(F62),"-",(F62/$D$50*$D$47*$B$68)*($B$57/$D$60))</f>
        <v>298.79706692696578</v>
      </c>
      <c r="H62" s="321">
        <f t="shared" si="0"/>
        <v>0.99599022308988594</v>
      </c>
      <c r="L62" s="247"/>
    </row>
    <row r="63" spans="1:12" ht="27" customHeight="1" thickBot="1" x14ac:dyDescent="0.45">
      <c r="A63" s="259" t="s">
        <v>94</v>
      </c>
      <c r="B63" s="260">
        <v>1</v>
      </c>
      <c r="C63" s="540"/>
      <c r="D63" s="543"/>
      <c r="E63" s="322">
        <v>4</v>
      </c>
      <c r="F63" s="323"/>
      <c r="G63" s="404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538" t="s">
        <v>96</v>
      </c>
      <c r="D64" s="541">
        <f>'Tenofovir Disoproxil Fumarate'!D64:D67</f>
        <v>861.96</v>
      </c>
      <c r="E64" s="317">
        <v>1</v>
      </c>
      <c r="F64" s="318">
        <v>71386637</v>
      </c>
      <c r="G64" s="405">
        <f>IF(ISBLANK(F64),"-",(F64/$D$50*$D$47*$B$68)*($B$57/$D$64))</f>
        <v>288.81129306884964</v>
      </c>
      <c r="H64" s="324">
        <f t="shared" si="0"/>
        <v>0.96270431022949876</v>
      </c>
    </row>
    <row r="65" spans="1:8" ht="26.25" customHeight="1" x14ac:dyDescent="0.4">
      <c r="A65" s="259" t="s">
        <v>97</v>
      </c>
      <c r="B65" s="260">
        <v>1</v>
      </c>
      <c r="C65" s="539"/>
      <c r="D65" s="542"/>
      <c r="E65" s="320">
        <v>2</v>
      </c>
      <c r="F65" s="272">
        <v>71863853</v>
      </c>
      <c r="G65" s="406">
        <f>IF(ISBLANK(F65),"-",(F65/$D$50*$D$47*$B$68)*($B$57/$D$64))</f>
        <v>290.74198172186948</v>
      </c>
      <c r="H65" s="325">
        <f t="shared" si="0"/>
        <v>0.9691399390728983</v>
      </c>
    </row>
    <row r="66" spans="1:8" ht="26.25" customHeight="1" x14ac:dyDescent="0.4">
      <c r="A66" s="259" t="s">
        <v>98</v>
      </c>
      <c r="B66" s="260">
        <v>1</v>
      </c>
      <c r="C66" s="539"/>
      <c r="D66" s="542"/>
      <c r="E66" s="320">
        <v>3</v>
      </c>
      <c r="F66" s="272">
        <v>70508769</v>
      </c>
      <c r="G66" s="406">
        <f>IF(ISBLANK(F66),"-",(F66/$D$50*$D$47*$B$68)*($B$57/$D$64))</f>
        <v>285.25967328567145</v>
      </c>
      <c r="H66" s="325">
        <f t="shared" si="0"/>
        <v>0.95086557761890489</v>
      </c>
    </row>
    <row r="67" spans="1:8" ht="27" customHeight="1" x14ac:dyDescent="0.4">
      <c r="A67" s="259" t="s">
        <v>99</v>
      </c>
      <c r="B67" s="260">
        <v>1</v>
      </c>
      <c r="C67" s="540"/>
      <c r="D67" s="543"/>
      <c r="E67" s="322">
        <v>4</v>
      </c>
      <c r="F67" s="323"/>
      <c r="G67" s="407" t="str">
        <f>IF(ISBLANK(F67),"-",(F67/$D$50*$D$47*$B$68)*($B$57/$D$64))</f>
        <v>-</v>
      </c>
      <c r="H67" s="326" t="str">
        <f t="shared" si="0"/>
        <v>-</v>
      </c>
    </row>
    <row r="68" spans="1:8" ht="26.25" customHeight="1" x14ac:dyDescent="0.4">
      <c r="A68" s="259" t="s">
        <v>100</v>
      </c>
      <c r="B68" s="327">
        <f>(B67/B66)*(B65/B64)*(B63/B62)*(B61/B60)*B59</f>
        <v>2500</v>
      </c>
      <c r="C68" s="538" t="s">
        <v>101</v>
      </c>
      <c r="D68" s="541">
        <f>'Tenofovir Disoproxil Fumarate'!D68:D71</f>
        <v>868.69</v>
      </c>
      <c r="E68" s="317">
        <v>1</v>
      </c>
      <c r="F68" s="318"/>
      <c r="G68" s="405" t="str">
        <f>IF(ISBLANK(F68),"-",(F68/$D$50*$D$47*$B$68)*($B$57/$D$68))</f>
        <v>-</v>
      </c>
      <c r="H68" s="321" t="str">
        <f t="shared" si="0"/>
        <v>-</v>
      </c>
    </row>
    <row r="69" spans="1:8" ht="27" customHeight="1" x14ac:dyDescent="0.4">
      <c r="A69" s="307" t="s">
        <v>102</v>
      </c>
      <c r="B69" s="328">
        <f>(D47*B68)/B56*B57</f>
        <v>868.00200000000007</v>
      </c>
      <c r="C69" s="539"/>
      <c r="D69" s="542"/>
      <c r="E69" s="320">
        <v>2</v>
      </c>
      <c r="F69" s="272"/>
      <c r="G69" s="406" t="str">
        <f>IF(ISBLANK(F69),"-",(F69/$D$50*$D$47*$B$68)*($B$57/$D$68))</f>
        <v>-</v>
      </c>
      <c r="H69" s="321" t="str">
        <f t="shared" si="0"/>
        <v>-</v>
      </c>
    </row>
    <row r="70" spans="1:8" ht="26.25" customHeight="1" x14ac:dyDescent="0.4">
      <c r="A70" s="551" t="s">
        <v>75</v>
      </c>
      <c r="B70" s="552"/>
      <c r="C70" s="539"/>
      <c r="D70" s="542"/>
      <c r="E70" s="320">
        <v>3</v>
      </c>
      <c r="F70" s="272"/>
      <c r="G70" s="406" t="str">
        <f>IF(ISBLANK(F70),"-",(F70/$D$50*$D$47*$B$68)*($B$57/$D$68))</f>
        <v>-</v>
      </c>
      <c r="H70" s="321" t="str">
        <f t="shared" si="0"/>
        <v>-</v>
      </c>
    </row>
    <row r="71" spans="1:8" ht="27" customHeight="1" x14ac:dyDescent="0.4">
      <c r="A71" s="553"/>
      <c r="B71" s="554"/>
      <c r="C71" s="550"/>
      <c r="D71" s="543"/>
      <c r="E71" s="322">
        <v>4</v>
      </c>
      <c r="F71" s="323"/>
      <c r="G71" s="407" t="str">
        <f>IF(ISBLANK(F71),"-",(F71/$D$50*$D$47*$B$68)*($B$57/$D$68))</f>
        <v>-</v>
      </c>
      <c r="H71" s="329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68</v>
      </c>
      <c r="G72" s="412">
        <f>AVERAGE(G60:G71)</f>
        <v>293.28774013566522</v>
      </c>
      <c r="H72" s="333">
        <f>AVERAGE(H60:H71)</f>
        <v>0.97762580045221759</v>
      </c>
    </row>
    <row r="73" spans="1:8" ht="26.25" customHeight="1" x14ac:dyDescent="0.4">
      <c r="C73" s="330"/>
      <c r="D73" s="330"/>
      <c r="E73" s="330"/>
      <c r="F73" s="334" t="s">
        <v>81</v>
      </c>
      <c r="G73" s="408">
        <f>STDEV(G60:G71)/G72</f>
        <v>1.9724750684762385E-2</v>
      </c>
      <c r="H73" s="408">
        <f>STDEV(H60:H71)/H72</f>
        <v>1.9724750684762385E-2</v>
      </c>
    </row>
    <row r="74" spans="1:8" ht="27" customHeight="1" x14ac:dyDescent="0.4">
      <c r="A74" s="330"/>
      <c r="B74" s="330"/>
      <c r="C74" s="331"/>
      <c r="D74" s="331"/>
      <c r="E74" s="335"/>
      <c r="F74" s="336" t="s">
        <v>20</v>
      </c>
      <c r="G74" s="337">
        <f>COUNT(G60:G71)</f>
        <v>6</v>
      </c>
      <c r="H74" s="337">
        <f>COUNT(H60:H71)</f>
        <v>6</v>
      </c>
    </row>
    <row r="76" spans="1:8" ht="26.25" customHeight="1" x14ac:dyDescent="0.4">
      <c r="A76" s="243" t="s">
        <v>103</v>
      </c>
      <c r="B76" s="338" t="s">
        <v>104</v>
      </c>
      <c r="C76" s="546" t="str">
        <f>B20</f>
        <v>Lamivudine</v>
      </c>
      <c r="D76" s="546"/>
      <c r="E76" s="339" t="s">
        <v>105</v>
      </c>
      <c r="F76" s="339"/>
      <c r="G76" s="340">
        <f>H72</f>
        <v>0.97762580045221759</v>
      </c>
      <c r="H76" s="341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532" t="str">
        <f>B26</f>
        <v>Lamivudine</v>
      </c>
      <c r="C79" s="532"/>
    </row>
    <row r="80" spans="1:8" ht="26.25" customHeight="1" x14ac:dyDescent="0.4">
      <c r="A80" s="244" t="s">
        <v>45</v>
      </c>
      <c r="B80" s="532" t="str">
        <f>B27</f>
        <v>10M388</v>
      </c>
      <c r="C80" s="532"/>
    </row>
    <row r="81" spans="1:12" ht="27" customHeight="1" x14ac:dyDescent="0.4">
      <c r="A81" s="244" t="s">
        <v>6</v>
      </c>
      <c r="B81" s="342">
        <v>100</v>
      </c>
    </row>
    <row r="82" spans="1:12" s="3" customFormat="1" ht="27" customHeight="1" x14ac:dyDescent="0.4">
      <c r="A82" s="244" t="s">
        <v>46</v>
      </c>
      <c r="B82" s="246">
        <v>0</v>
      </c>
      <c r="C82" s="523" t="s">
        <v>47</v>
      </c>
      <c r="D82" s="524"/>
      <c r="E82" s="524"/>
      <c r="F82" s="524"/>
      <c r="G82" s="525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100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526" t="s">
        <v>108</v>
      </c>
      <c r="D84" s="527"/>
      <c r="E84" s="527"/>
      <c r="F84" s="527"/>
      <c r="G84" s="527"/>
      <c r="H84" s="528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526" t="s">
        <v>109</v>
      </c>
      <c r="D85" s="527"/>
      <c r="E85" s="527"/>
      <c r="F85" s="527"/>
      <c r="G85" s="527"/>
      <c r="H85" s="528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50</v>
      </c>
      <c r="D89" s="343" t="s">
        <v>56</v>
      </c>
      <c r="E89" s="344"/>
      <c r="F89" s="529" t="s">
        <v>57</v>
      </c>
      <c r="G89" s="531"/>
    </row>
    <row r="90" spans="1:12" ht="27" customHeight="1" x14ac:dyDescent="0.4">
      <c r="A90" s="259" t="s">
        <v>58</v>
      </c>
      <c r="B90" s="260">
        <v>1</v>
      </c>
      <c r="C90" s="345" t="s">
        <v>59</v>
      </c>
      <c r="D90" s="262" t="s">
        <v>60</v>
      </c>
      <c r="E90" s="263" t="s">
        <v>61</v>
      </c>
      <c r="F90" s="262" t="s">
        <v>60</v>
      </c>
      <c r="G90" s="346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1</v>
      </c>
      <c r="C91" s="347">
        <v>1</v>
      </c>
      <c r="D91" s="267">
        <v>103252926</v>
      </c>
      <c r="E91" s="268">
        <f>IF(ISBLANK(D91),"-",$D$101/$D$98*D91)</f>
        <v>105791932.37704918</v>
      </c>
      <c r="F91" s="267">
        <v>107573142</v>
      </c>
      <c r="G91" s="269">
        <f>IF(ISBLANK(F91),"-",$D$101/$F$98*F91)</f>
        <v>106931552.68389663</v>
      </c>
      <c r="I91" s="270"/>
    </row>
    <row r="92" spans="1:12" ht="26.25" customHeight="1" x14ac:dyDescent="0.4">
      <c r="A92" s="259" t="s">
        <v>64</v>
      </c>
      <c r="B92" s="260">
        <v>1</v>
      </c>
      <c r="C92" s="331">
        <v>2</v>
      </c>
      <c r="D92" s="272">
        <v>103521497</v>
      </c>
      <c r="E92" s="273">
        <f>IF(ISBLANK(D92),"-",$D$101/$D$98*D92)</f>
        <v>106067107.5819672</v>
      </c>
      <c r="F92" s="272">
        <v>107844690</v>
      </c>
      <c r="G92" s="274">
        <f>IF(ISBLANK(F92),"-",$D$101/$F$98*F92)</f>
        <v>107201481.11332008</v>
      </c>
      <c r="I92" s="533">
        <f>ABS((F96/D96*D95)-F95)/D95</f>
        <v>1.2287460220186558E-2</v>
      </c>
    </row>
    <row r="93" spans="1:12" ht="26.25" customHeight="1" x14ac:dyDescent="0.4">
      <c r="A93" s="259" t="s">
        <v>65</v>
      </c>
      <c r="B93" s="260">
        <v>1</v>
      </c>
      <c r="C93" s="331">
        <v>3</v>
      </c>
      <c r="D93" s="272">
        <v>102864528</v>
      </c>
      <c r="E93" s="273">
        <f>IF(ISBLANK(D93),"-",$D$101/$D$98*D93)</f>
        <v>105393983.60655737</v>
      </c>
      <c r="F93" s="272">
        <v>107543386</v>
      </c>
      <c r="G93" s="274">
        <f>IF(ISBLANK(F93),"-",$D$101/$F$98*F93)</f>
        <v>106901974.15506959</v>
      </c>
      <c r="I93" s="533"/>
    </row>
    <row r="94" spans="1:12" ht="27" customHeight="1" x14ac:dyDescent="0.4">
      <c r="A94" s="259" t="s">
        <v>66</v>
      </c>
      <c r="B94" s="260">
        <v>1</v>
      </c>
      <c r="C94" s="348">
        <v>4</v>
      </c>
      <c r="D94" s="277"/>
      <c r="E94" s="278" t="str">
        <f>IF(ISBLANK(D94),"-",$D$101/$D$98*D94)</f>
        <v>-</v>
      </c>
      <c r="F94" s="349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0" t="s">
        <v>68</v>
      </c>
      <c r="D95" s="351">
        <f>AVERAGE(D91:D94)</f>
        <v>103212983.66666667</v>
      </c>
      <c r="E95" s="283">
        <f>AVERAGE(E91:E94)</f>
        <v>105751007.85519125</v>
      </c>
      <c r="F95" s="352">
        <f>AVERAGE(F91:F94)</f>
        <v>107653739.33333333</v>
      </c>
      <c r="G95" s="353">
        <f>AVERAGE(G91:G94)</f>
        <v>107011669.31742877</v>
      </c>
    </row>
    <row r="96" spans="1:12" ht="26.25" customHeight="1" x14ac:dyDescent="0.4">
      <c r="A96" s="259" t="s">
        <v>69</v>
      </c>
      <c r="B96" s="245">
        <v>1</v>
      </c>
      <c r="C96" s="354" t="s">
        <v>110</v>
      </c>
      <c r="D96" s="355">
        <v>14.64</v>
      </c>
      <c r="E96" s="275"/>
      <c r="F96" s="287">
        <v>15.09</v>
      </c>
    </row>
    <row r="97" spans="1:10" ht="26.25" customHeight="1" x14ac:dyDescent="0.4">
      <c r="A97" s="259" t="s">
        <v>71</v>
      </c>
      <c r="B97" s="245">
        <v>1</v>
      </c>
      <c r="C97" s="356" t="s">
        <v>111</v>
      </c>
      <c r="D97" s="357">
        <f>D96*$B$87</f>
        <v>14.64</v>
      </c>
      <c r="E97" s="290"/>
      <c r="F97" s="289">
        <f>F96*$B$87</f>
        <v>15.09</v>
      </c>
    </row>
    <row r="98" spans="1:10" ht="19.5" customHeight="1" x14ac:dyDescent="0.3">
      <c r="A98" s="259" t="s">
        <v>73</v>
      </c>
      <c r="B98" s="358">
        <f>(B97/B96)*(B95/B94)*(B93/B92)*(B91/B90)*B89</f>
        <v>50</v>
      </c>
      <c r="C98" s="356" t="s">
        <v>112</v>
      </c>
      <c r="D98" s="359">
        <f>D97*$B$83/100</f>
        <v>14.64</v>
      </c>
      <c r="E98" s="293"/>
      <c r="F98" s="292">
        <f>F97*$B$83/100</f>
        <v>15.09</v>
      </c>
    </row>
    <row r="99" spans="1:10" ht="19.5" customHeight="1" x14ac:dyDescent="0.3">
      <c r="A99" s="534" t="s">
        <v>75</v>
      </c>
      <c r="B99" s="548"/>
      <c r="C99" s="356" t="s">
        <v>113</v>
      </c>
      <c r="D99" s="360">
        <f>D98/$B$98</f>
        <v>0.2928</v>
      </c>
      <c r="E99" s="293"/>
      <c r="F99" s="296">
        <f>F98/$B$98</f>
        <v>0.30180000000000001</v>
      </c>
      <c r="G99" s="361"/>
      <c r="H99" s="285"/>
    </row>
    <row r="100" spans="1:10" ht="19.5" customHeight="1" x14ac:dyDescent="0.3">
      <c r="A100" s="536"/>
      <c r="B100" s="549"/>
      <c r="C100" s="356" t="s">
        <v>77</v>
      </c>
      <c r="D100" s="362">
        <f>$B$56/$B$116</f>
        <v>0.3</v>
      </c>
      <c r="F100" s="301"/>
      <c r="G100" s="363"/>
      <c r="H100" s="285"/>
    </row>
    <row r="101" spans="1:10" ht="18.75" x14ac:dyDescent="0.3">
      <c r="C101" s="356" t="s">
        <v>78</v>
      </c>
      <c r="D101" s="357">
        <f>D100*$B$98</f>
        <v>15</v>
      </c>
      <c r="F101" s="301"/>
      <c r="G101" s="361"/>
      <c r="H101" s="285"/>
    </row>
    <row r="102" spans="1:10" ht="19.5" customHeight="1" x14ac:dyDescent="0.3">
      <c r="C102" s="364" t="s">
        <v>79</v>
      </c>
      <c r="D102" s="365">
        <f>D101/B34</f>
        <v>15</v>
      </c>
      <c r="F102" s="305"/>
      <c r="G102" s="361"/>
      <c r="H102" s="285"/>
      <c r="J102" s="366"/>
    </row>
    <row r="103" spans="1:10" ht="18.75" x14ac:dyDescent="0.3">
      <c r="C103" s="367" t="s">
        <v>114</v>
      </c>
      <c r="D103" s="368">
        <f>AVERAGE(E91:E94,G91:G94)</f>
        <v>106381338.58631001</v>
      </c>
      <c r="F103" s="305"/>
      <c r="G103" s="369"/>
      <c r="H103" s="285"/>
      <c r="J103" s="370"/>
    </row>
    <row r="104" spans="1:10" ht="18.75" x14ac:dyDescent="0.3">
      <c r="C104" s="334" t="s">
        <v>81</v>
      </c>
      <c r="D104" s="371">
        <f>STDEV(E91:E94,G91:G94)/D103</f>
        <v>6.8658923300155515E-3</v>
      </c>
      <c r="F104" s="305"/>
      <c r="G104" s="361"/>
      <c r="H104" s="285"/>
      <c r="J104" s="370"/>
    </row>
    <row r="105" spans="1:10" ht="19.5" customHeight="1" x14ac:dyDescent="0.3">
      <c r="C105" s="336" t="s">
        <v>20</v>
      </c>
      <c r="D105" s="372">
        <f>COUNT(E91:E94,G91:G94)</f>
        <v>6</v>
      </c>
      <c r="F105" s="305"/>
      <c r="G105" s="361"/>
      <c r="H105" s="285"/>
      <c r="J105" s="370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1000</v>
      </c>
      <c r="C107" s="373" t="s">
        <v>116</v>
      </c>
      <c r="D107" s="374" t="s">
        <v>60</v>
      </c>
      <c r="E107" s="375" t="s">
        <v>117</v>
      </c>
      <c r="F107" s="376" t="s">
        <v>118</v>
      </c>
    </row>
    <row r="108" spans="1:10" ht="26.25" customHeight="1" x14ac:dyDescent="0.4">
      <c r="A108" s="259" t="s">
        <v>119</v>
      </c>
      <c r="B108" s="260">
        <v>1</v>
      </c>
      <c r="C108" s="377">
        <v>1</v>
      </c>
      <c r="D108" s="378">
        <v>105954981</v>
      </c>
      <c r="E108" s="409">
        <f t="shared" ref="E108:E113" si="1">IF(ISBLANK(D108),"-",D108/$D$103*$D$100*$B$116)</f>
        <v>298.79765306967602</v>
      </c>
      <c r="F108" s="379">
        <f t="shared" ref="F108:F113" si="2">IF(ISBLANK(D108), "-", E108/$B$56)</f>
        <v>0.99599217689892006</v>
      </c>
    </row>
    <row r="109" spans="1:10" ht="26.25" customHeight="1" x14ac:dyDescent="0.4">
      <c r="A109" s="259" t="s">
        <v>92</v>
      </c>
      <c r="B109" s="260">
        <v>1</v>
      </c>
      <c r="C109" s="377">
        <v>2</v>
      </c>
      <c r="D109" s="378">
        <v>107686464</v>
      </c>
      <c r="E109" s="410">
        <f t="shared" si="1"/>
        <v>303.68051041009727</v>
      </c>
      <c r="F109" s="380">
        <f t="shared" si="2"/>
        <v>1.0122683680336575</v>
      </c>
    </row>
    <row r="110" spans="1:10" ht="26.25" customHeight="1" x14ac:dyDescent="0.4">
      <c r="A110" s="259" t="s">
        <v>93</v>
      </c>
      <c r="B110" s="260">
        <v>1</v>
      </c>
      <c r="C110" s="377">
        <v>3</v>
      </c>
      <c r="D110" s="378">
        <v>107350998</v>
      </c>
      <c r="E110" s="410">
        <f t="shared" si="1"/>
        <v>302.73448170489962</v>
      </c>
      <c r="F110" s="380">
        <f t="shared" si="2"/>
        <v>1.0091149390163321</v>
      </c>
    </row>
    <row r="111" spans="1:10" ht="26.25" customHeight="1" x14ac:dyDescent="0.4">
      <c r="A111" s="259" t="s">
        <v>94</v>
      </c>
      <c r="B111" s="260">
        <v>1</v>
      </c>
      <c r="C111" s="377">
        <v>4</v>
      </c>
      <c r="D111" s="378">
        <v>107718247</v>
      </c>
      <c r="E111" s="410">
        <f t="shared" si="1"/>
        <v>303.7701398519402</v>
      </c>
      <c r="F111" s="380">
        <f t="shared" si="2"/>
        <v>1.0125671328398007</v>
      </c>
    </row>
    <row r="112" spans="1:10" ht="26.25" customHeight="1" x14ac:dyDescent="0.4">
      <c r="A112" s="259" t="s">
        <v>95</v>
      </c>
      <c r="B112" s="260">
        <v>1</v>
      </c>
      <c r="C112" s="377">
        <v>5</v>
      </c>
      <c r="D112" s="378">
        <v>106937866</v>
      </c>
      <c r="E112" s="410">
        <f t="shared" si="1"/>
        <v>301.56943150298429</v>
      </c>
      <c r="F112" s="380">
        <f t="shared" si="2"/>
        <v>1.005231438343281</v>
      </c>
    </row>
    <row r="113" spans="1:10" ht="26.25" customHeight="1" x14ac:dyDescent="0.4">
      <c r="A113" s="259" t="s">
        <v>97</v>
      </c>
      <c r="B113" s="260">
        <v>1</v>
      </c>
      <c r="C113" s="381">
        <v>6</v>
      </c>
      <c r="D113" s="382">
        <v>105726133</v>
      </c>
      <c r="E113" s="411">
        <f t="shared" si="1"/>
        <v>298.15229175995438</v>
      </c>
      <c r="F113" s="383">
        <f t="shared" si="2"/>
        <v>0.99384097253318127</v>
      </c>
    </row>
    <row r="114" spans="1:10" ht="26.25" customHeight="1" x14ac:dyDescent="0.4">
      <c r="A114" s="259" t="s">
        <v>98</v>
      </c>
      <c r="B114" s="260">
        <v>1</v>
      </c>
      <c r="C114" s="377"/>
      <c r="D114" s="331"/>
      <c r="E114" s="233"/>
      <c r="F114" s="384"/>
    </row>
    <row r="115" spans="1:10" ht="26.25" customHeight="1" x14ac:dyDescent="0.4">
      <c r="A115" s="259" t="s">
        <v>99</v>
      </c>
      <c r="B115" s="260">
        <v>1</v>
      </c>
      <c r="C115" s="377"/>
      <c r="D115" s="385" t="s">
        <v>68</v>
      </c>
      <c r="E115" s="413">
        <f>AVERAGE(E108:E113)</f>
        <v>301.45075138325859</v>
      </c>
      <c r="F115" s="386">
        <f>AVERAGE(F108:F113)</f>
        <v>1.0048358379441955</v>
      </c>
    </row>
    <row r="116" spans="1:10" ht="27" customHeight="1" x14ac:dyDescent="0.4">
      <c r="A116" s="259" t="s">
        <v>100</v>
      </c>
      <c r="B116" s="291">
        <f>(B115/B114)*(B113/B112)*(B111/B110)*(B109/B108)*B107</f>
        <v>1000</v>
      </c>
      <c r="C116" s="387"/>
      <c r="D116" s="350" t="s">
        <v>81</v>
      </c>
      <c r="E116" s="388">
        <f>STDEV(E108:E113)/E115</f>
        <v>8.1164846167662511E-3</v>
      </c>
      <c r="F116" s="388">
        <f>STDEV(F108:F113)/F115</f>
        <v>8.1164846167662459E-3</v>
      </c>
      <c r="I116" s="233"/>
    </row>
    <row r="117" spans="1:10" ht="27" customHeight="1" x14ac:dyDescent="0.4">
      <c r="A117" s="534" t="s">
        <v>75</v>
      </c>
      <c r="B117" s="535"/>
      <c r="C117" s="389"/>
      <c r="D117" s="390" t="s">
        <v>20</v>
      </c>
      <c r="E117" s="391">
        <f>COUNT(E108:E113)</f>
        <v>6</v>
      </c>
      <c r="F117" s="391">
        <f>COUNT(F108:F113)</f>
        <v>6</v>
      </c>
      <c r="I117" s="233"/>
      <c r="J117" s="370"/>
    </row>
    <row r="118" spans="1:10" ht="19.5" customHeight="1" x14ac:dyDescent="0.3">
      <c r="A118" s="536"/>
      <c r="B118" s="537"/>
      <c r="C118" s="233"/>
      <c r="D118" s="233"/>
      <c r="E118" s="233"/>
      <c r="F118" s="331"/>
      <c r="G118" s="233"/>
      <c r="H118" s="233"/>
      <c r="I118" s="233"/>
    </row>
    <row r="119" spans="1:10" ht="18.75" x14ac:dyDescent="0.3">
      <c r="A119" s="400"/>
      <c r="B119" s="255"/>
      <c r="C119" s="233"/>
      <c r="D119" s="233"/>
      <c r="E119" s="233"/>
      <c r="F119" s="331"/>
      <c r="G119" s="233"/>
      <c r="H119" s="233"/>
      <c r="I119" s="233"/>
    </row>
    <row r="120" spans="1:10" ht="26.25" customHeight="1" x14ac:dyDescent="0.4">
      <c r="A120" s="243" t="s">
        <v>103</v>
      </c>
      <c r="B120" s="338" t="s">
        <v>120</v>
      </c>
      <c r="C120" s="546" t="str">
        <f>B20</f>
        <v>Lamivudine</v>
      </c>
      <c r="D120" s="546"/>
      <c r="E120" s="339" t="s">
        <v>121</v>
      </c>
      <c r="F120" s="339"/>
      <c r="G120" s="340">
        <f>F115</f>
        <v>1.0048358379441955</v>
      </c>
      <c r="H120" s="233"/>
      <c r="I120" s="233"/>
    </row>
    <row r="121" spans="1:10" ht="19.5" customHeight="1" x14ac:dyDescent="0.3">
      <c r="A121" s="392"/>
      <c r="B121" s="392"/>
      <c r="C121" s="393"/>
      <c r="D121" s="393"/>
      <c r="E121" s="393"/>
      <c r="F121" s="393"/>
      <c r="G121" s="393"/>
      <c r="H121" s="393"/>
    </row>
    <row r="122" spans="1:10" ht="18.75" x14ac:dyDescent="0.3">
      <c r="B122" s="547" t="s">
        <v>23</v>
      </c>
      <c r="C122" s="547"/>
      <c r="E122" s="345" t="s">
        <v>24</v>
      </c>
      <c r="F122" s="394"/>
      <c r="G122" s="547" t="s">
        <v>25</v>
      </c>
      <c r="H122" s="547"/>
    </row>
    <row r="123" spans="1:10" ht="69.95" customHeight="1" x14ac:dyDescent="0.3">
      <c r="A123" s="395" t="s">
        <v>26</v>
      </c>
      <c r="B123" s="396"/>
      <c r="C123" s="396"/>
      <c r="E123" s="396"/>
      <c r="F123" s="233"/>
      <c r="G123" s="397"/>
      <c r="H123" s="397"/>
    </row>
    <row r="124" spans="1:10" ht="69.95" customHeight="1" x14ac:dyDescent="0.3">
      <c r="A124" s="395" t="s">
        <v>27</v>
      </c>
      <c r="B124" s="398"/>
      <c r="C124" s="398"/>
      <c r="E124" s="398"/>
      <c r="F124" s="233"/>
      <c r="G124" s="399"/>
      <c r="H124" s="399"/>
    </row>
    <row r="125" spans="1:10" ht="18.75" x14ac:dyDescent="0.3">
      <c r="A125" s="330"/>
      <c r="B125" s="330"/>
      <c r="C125" s="331"/>
      <c r="D125" s="331"/>
      <c r="E125" s="331"/>
      <c r="F125" s="335"/>
      <c r="G125" s="331"/>
      <c r="H125" s="331"/>
      <c r="I125" s="233"/>
    </row>
    <row r="126" spans="1:10" ht="18.75" x14ac:dyDescent="0.3">
      <c r="A126" s="330"/>
      <c r="B126" s="330"/>
      <c r="C126" s="331"/>
      <c r="D126" s="331"/>
      <c r="E126" s="331"/>
      <c r="F126" s="335"/>
      <c r="G126" s="331"/>
      <c r="H126" s="331"/>
      <c r="I126" s="233"/>
    </row>
    <row r="127" spans="1:10" ht="18.75" x14ac:dyDescent="0.3">
      <c r="A127" s="330"/>
      <c r="B127" s="330"/>
      <c r="C127" s="331"/>
      <c r="D127" s="331"/>
      <c r="E127" s="331"/>
      <c r="F127" s="335"/>
      <c r="G127" s="331"/>
      <c r="H127" s="331"/>
      <c r="I127" s="233"/>
    </row>
    <row r="128" spans="1:10" ht="18.75" x14ac:dyDescent="0.3">
      <c r="A128" s="330"/>
      <c r="B128" s="330"/>
      <c r="C128" s="331"/>
      <c r="D128" s="331"/>
      <c r="E128" s="331"/>
      <c r="F128" s="335"/>
      <c r="G128" s="331"/>
      <c r="H128" s="331"/>
      <c r="I128" s="233"/>
    </row>
    <row r="129" spans="1:9" ht="18.75" x14ac:dyDescent="0.3">
      <c r="A129" s="330"/>
      <c r="B129" s="330"/>
      <c r="C129" s="331"/>
      <c r="D129" s="331"/>
      <c r="E129" s="331"/>
      <c r="F129" s="335"/>
      <c r="G129" s="331"/>
      <c r="H129" s="331"/>
      <c r="I129" s="233"/>
    </row>
    <row r="130" spans="1:9" ht="18.75" x14ac:dyDescent="0.3">
      <c r="A130" s="330"/>
      <c r="B130" s="330"/>
      <c r="C130" s="331"/>
      <c r="D130" s="331"/>
      <c r="E130" s="331"/>
      <c r="F130" s="335"/>
      <c r="G130" s="331"/>
      <c r="H130" s="331"/>
      <c r="I130" s="233"/>
    </row>
    <row r="131" spans="1:9" ht="18.75" x14ac:dyDescent="0.3">
      <c r="A131" s="330"/>
      <c r="B131" s="330"/>
      <c r="C131" s="331"/>
      <c r="D131" s="331"/>
      <c r="E131" s="331"/>
      <c r="F131" s="335"/>
      <c r="G131" s="331"/>
      <c r="H131" s="331"/>
      <c r="I131" s="233"/>
    </row>
    <row r="132" spans="1:9" ht="18.75" x14ac:dyDescent="0.3">
      <c r="A132" s="330"/>
      <c r="B132" s="330"/>
      <c r="C132" s="331"/>
      <c r="D132" s="331"/>
      <c r="E132" s="331"/>
      <c r="F132" s="335"/>
      <c r="G132" s="331"/>
      <c r="H132" s="331"/>
      <c r="I132" s="233"/>
    </row>
    <row r="133" spans="1:9" ht="18.75" x14ac:dyDescent="0.3">
      <c r="A133" s="330"/>
      <c r="B133" s="330"/>
      <c r="C133" s="331"/>
      <c r="D133" s="331"/>
      <c r="E133" s="331"/>
      <c r="F133" s="335"/>
      <c r="G133" s="331"/>
      <c r="H133" s="331"/>
      <c r="I133" s="233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TDF</vt:lpstr>
      <vt:lpstr>SST lam</vt:lpstr>
      <vt:lpstr>Uniformity</vt:lpstr>
      <vt:lpstr>Tenofovir Disoproxil Fumarate</vt:lpstr>
      <vt:lpstr>Lamivudine</vt:lpstr>
      <vt:lpstr>Lamivudine!Print_Area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2016-11-16T09:13:04Z</cp:lastPrinted>
  <dcterms:created xsi:type="dcterms:W3CDTF">2005-07-05T10:19:27Z</dcterms:created>
  <dcterms:modified xsi:type="dcterms:W3CDTF">2016-11-25T05:14:56Z</dcterms:modified>
</cp:coreProperties>
</file>