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4"/>
  </bookViews>
  <sheets>
    <sheet name="Lamivudine SST" sheetId="1" r:id="rId1"/>
    <sheet name="Zidovudine SST" sheetId="5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Lamivudine!$A$1:$I$124</definedName>
    <definedName name="_xlnm.Print_Area" localSheetId="0">'Lamivudine SST'!$A$15:$H$61</definedName>
    <definedName name="_xlnm.Print_Area" localSheetId="2">Uniformity!$A$12:$G$54</definedName>
    <definedName name="_xlnm.Print_Area" localSheetId="4">Zidovudine!$A$1:$I$124</definedName>
    <definedName name="_xlnm.Print_Area" localSheetId="1">'Zidovudine SST'!$A$15:$H$62</definedName>
  </definedNames>
  <calcPr calcId="144525"/>
</workbook>
</file>

<file path=xl/calcChain.xml><?xml version="1.0" encoding="utf-8"?>
<calcChain xmlns="http://schemas.openxmlformats.org/spreadsheetml/2006/main">
  <c r="B42" i="1" l="1"/>
  <c r="B42" i="5"/>
  <c r="B21" i="5"/>
  <c r="B21" i="1"/>
  <c r="B53" i="5"/>
  <c r="B52" i="5"/>
  <c r="B32" i="5"/>
  <c r="F30" i="5"/>
  <c r="D30" i="5"/>
  <c r="C30" i="5"/>
  <c r="B30" i="5"/>
  <c r="B31" i="5" s="1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B52" i="1"/>
  <c r="B32" i="1"/>
  <c r="F30" i="1"/>
  <c r="D30" i="1"/>
  <c r="C30" i="1"/>
  <c r="B30" i="1"/>
  <c r="B31" i="1" s="1"/>
  <c r="I92" i="4" l="1"/>
  <c r="D101" i="4"/>
  <c r="I92" i="3"/>
  <c r="D49" i="4"/>
  <c r="F44" i="4"/>
  <c r="D45" i="4"/>
  <c r="D46" i="4" s="1"/>
  <c r="F45" i="4"/>
  <c r="F46" i="4" s="1"/>
  <c r="I39" i="4"/>
  <c r="D101" i="3"/>
  <c r="D102" i="3" s="1"/>
  <c r="F44" i="3"/>
  <c r="F45" i="3" s="1"/>
  <c r="F46" i="3" s="1"/>
  <c r="D49" i="3"/>
  <c r="D45" i="3"/>
  <c r="D46" i="3" s="1"/>
  <c r="I39" i="3"/>
  <c r="D102" i="4"/>
  <c r="G92" i="4"/>
  <c r="E38" i="3"/>
  <c r="E39" i="3"/>
  <c r="G41" i="3"/>
  <c r="G40" i="3"/>
  <c r="F98" i="4"/>
  <c r="F99" i="4" s="1"/>
  <c r="F98" i="3"/>
  <c r="F99" i="3" s="1"/>
  <c r="E38" i="4"/>
  <c r="E39" i="4"/>
  <c r="G38" i="4"/>
  <c r="G41" i="4"/>
  <c r="G39" i="4"/>
  <c r="G40" i="4"/>
  <c r="C49" i="2"/>
  <c r="D24" i="2"/>
  <c r="D28" i="2"/>
  <c r="D32" i="2"/>
  <c r="D36" i="2"/>
  <c r="D40" i="2"/>
  <c r="D49" i="2"/>
  <c r="G39" i="3"/>
  <c r="E41" i="3"/>
  <c r="B57" i="3"/>
  <c r="B69" i="3" s="1"/>
  <c r="E41" i="4"/>
  <c r="B57" i="4"/>
  <c r="B69" i="4" s="1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G38" i="3"/>
  <c r="E40" i="3"/>
  <c r="E40" i="4"/>
  <c r="E91" i="4" l="1"/>
  <c r="G91" i="4"/>
  <c r="E92" i="4"/>
  <c r="G42" i="4"/>
  <c r="G42" i="3"/>
  <c r="G94" i="3"/>
  <c r="G93" i="3"/>
  <c r="G92" i="3"/>
  <c r="G91" i="3"/>
  <c r="G95" i="3" s="1"/>
  <c r="D52" i="3"/>
  <c r="D50" i="3"/>
  <c r="E42" i="3"/>
  <c r="G94" i="4"/>
  <c r="G93" i="4"/>
  <c r="E94" i="3"/>
  <c r="E93" i="3"/>
  <c r="D52" i="4"/>
  <c r="D50" i="4"/>
  <c r="E42" i="4"/>
  <c r="E91" i="3"/>
  <c r="E92" i="3"/>
  <c r="E94" i="4"/>
  <c r="E93" i="4"/>
  <c r="E95" i="4" l="1"/>
  <c r="D103" i="4"/>
  <c r="E108" i="4" s="1"/>
  <c r="D105" i="4"/>
  <c r="G95" i="4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7" i="4"/>
  <c r="H67" i="4" s="1"/>
  <c r="G65" i="4"/>
  <c r="H65" i="4" s="1"/>
  <c r="G63" i="4"/>
  <c r="H63" i="4" s="1"/>
  <c r="G61" i="4"/>
  <c r="H61" i="4" s="1"/>
  <c r="E95" i="3"/>
  <c r="D105" i="3"/>
  <c r="D103" i="3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E113" i="4"/>
  <c r="F113" i="4" s="1"/>
  <c r="E109" i="4" l="1"/>
  <c r="F109" i="4" s="1"/>
  <c r="E112" i="4"/>
  <c r="F112" i="4" s="1"/>
  <c r="E111" i="4"/>
  <c r="F111" i="4" s="1"/>
  <c r="E110" i="4"/>
  <c r="F110" i="4" s="1"/>
  <c r="D104" i="4"/>
  <c r="F108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3"/>
  <c r="G74" i="3"/>
  <c r="G72" i="3"/>
  <c r="G73" i="3" s="1"/>
  <c r="H60" i="4"/>
  <c r="G74" i="4"/>
  <c r="G72" i="4"/>
  <c r="G73" i="4" s="1"/>
  <c r="E115" i="4" l="1"/>
  <c r="E116" i="4" s="1"/>
  <c r="E117" i="4"/>
  <c r="H74" i="3"/>
  <c r="H72" i="3"/>
  <c r="F117" i="4"/>
  <c r="F115" i="4"/>
  <c r="H74" i="4"/>
  <c r="H72" i="4"/>
  <c r="E115" i="3"/>
  <c r="E116" i="3" s="1"/>
  <c r="E117" i="3"/>
  <c r="F108" i="3"/>
  <c r="G120" i="4" l="1"/>
  <c r="F116" i="4"/>
  <c r="G76" i="4"/>
  <c r="H73" i="4"/>
  <c r="G76" i="3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<sst xmlns="http://schemas.openxmlformats.org/spreadsheetml/2006/main" count="448" uniqueCount="133">
  <si>
    <t>HPLC System Suitability Report</t>
  </si>
  <si>
    <t>Analysis Data</t>
  </si>
  <si>
    <t>Assay</t>
  </si>
  <si>
    <t>Sample(s)</t>
  </si>
  <si>
    <t>Reference Substance:</t>
  </si>
  <si>
    <t>ZIDOVUDINE/LAMIVUDINE 300 MG/150 MG TABLETS</t>
  </si>
  <si>
    <t>% age Purity:</t>
  </si>
  <si>
    <t>NDQB201607007</t>
  </si>
  <si>
    <t>Weight (mg):</t>
  </si>
  <si>
    <t>Zidovudine, lamivudine</t>
  </si>
  <si>
    <t>Standard Conc (mg/mL):</t>
  </si>
  <si>
    <t>Each film coated tablet contains Zidovudine 300 mg. Lamivudine 150 mg</t>
  </si>
  <si>
    <t>2016-07-05 12:00:53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</si>
  <si>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</si>
  <si>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</si>
  <si>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</si>
  <si>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</si>
  <si>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</si>
  <si>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</si>
  <si>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</si>
  <si>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</si>
  <si>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</si>
  <si>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</si>
  <si>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</si>
  <si>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</si>
  <si>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</si>
  <si>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</si>
  <si>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</si>
  <si>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</si>
  <si>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</si>
  <si>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</si>
  <si>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</si>
  <si>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</si>
  <si>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</si>
  <si>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</si>
  <si>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</si>
  <si>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</si>
  <si>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</si>
  <si>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</si>
  <si>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</si>
  <si>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</si>
  <si>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</si>
  <si>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</si>
  <si>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</si>
  <si>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</si>
  <si>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</si>
  <si>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</si>
  <si>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</si>
  <si>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</si>
  <si>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</si>
  <si>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</si>
  <si>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</si>
  <si>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</si>
  <si>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</si>
  <si>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</si>
  <si>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</si>
  <si>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</si>
  <si>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</si>
  <si>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</si>
  <si>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</si>
  <si>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</si>
  <si>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</si>
  <si>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</si>
  <si>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</si>
  <si>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</si>
  <si>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</si>
  <si>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</si>
  <si>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</si>
  <si>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</si>
  <si>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</si>
  <si>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</si>
  <si>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</si>
  <si>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</si>
  <si>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</si>
  <si>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</si>
  <si>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</si>
  <si>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</si>
  <si>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</si>
  <si>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</si>
  <si>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</si>
  <si>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</si>
  <si>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</si>
  <si>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</si>
  <si>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</si>
  <si>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</si>
  <si>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</si>
  <si>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</si>
  <si>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</si>
  <si>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</si>
  <si>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</si>
  <si>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</si>
  <si>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</si>
  <si>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</si>
  <si>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</si>
  <si>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</si>
  <si>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</si>
  <si>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</si>
  <si>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</si>
  <si>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</si>
  <si>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</si>
  <si>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</si>
  <si>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</si>
  <si>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</si>
  <si>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</si>
  <si>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</si>
  <si>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</si>
  <si>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</si>
  <si>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</si>
  <si>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</si>
  <si>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</si>
  <si>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</si>
  <si>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</si>
  <si>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</si>
  <si>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</si>
  <si>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</si>
  <si>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</si>
  <si>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</si>
  <si>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</si>
  <si>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</si>
  <si>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</si>
  <si>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</si>
  <si>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</si>
  <si>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</si>
  <si>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</si>
  <si>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</si>
  <si>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</si>
  <si>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L3-10</t>
  </si>
  <si>
    <t>Zidovudine</t>
  </si>
  <si>
    <t>Z1-3</t>
  </si>
  <si>
    <t>Resolution(USP)</t>
  </si>
  <si>
    <t xml:space="preserve">Resolution between peak pair Lamivudine and Zidovudine is NLT 3 </t>
  </si>
  <si>
    <t xml:space="preserve">Resolution between peak pair Lamivudine and Zidovudine is NLT 8.0 </t>
  </si>
  <si>
    <t>RUTTO/LORNA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</si>
</sst>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10" fontId="2" fillId="2" borderId="0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0" workbookViewId="0">
      <selection activeCell="F52" sqref="F5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409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465" t="s">
        <v>0</v>
      </c>
      <c r="B15" s="465"/>
      <c r="C15" s="465"/>
      <c r="D15" s="465"/>
      <c r="E15" s="465"/>
      <c r="F15" s="465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12" t="s">
        <v>125</v>
      </c>
      <c r="C18" s="10"/>
      <c r="D18" s="10"/>
      <c r="E18" s="71"/>
      <c r="F18" s="10"/>
    </row>
    <row r="19" spans="1:7" ht="16.5" customHeight="1" x14ac:dyDescent="0.3">
      <c r="A19" s="11" t="s">
        <v>6</v>
      </c>
      <c r="B19" s="12">
        <v>100</v>
      </c>
      <c r="C19" s="10"/>
      <c r="D19" s="10"/>
      <c r="E19" s="71"/>
      <c r="F19" s="10"/>
    </row>
    <row r="20" spans="1:7" ht="16.5" customHeight="1" x14ac:dyDescent="0.3">
      <c r="A20" s="7" t="s">
        <v>8</v>
      </c>
      <c r="B20" s="12">
        <v>14.97</v>
      </c>
      <c r="C20" s="10"/>
      <c r="D20" s="10"/>
      <c r="E20" s="71"/>
      <c r="F20" s="10"/>
    </row>
    <row r="21" spans="1:7" ht="16.5" customHeight="1" x14ac:dyDescent="0.3">
      <c r="A21" s="7" t="s">
        <v>10</v>
      </c>
      <c r="B21" s="13">
        <f>14.97/100</f>
        <v>0.1497</v>
      </c>
      <c r="C21" s="10"/>
      <c r="D21" s="10"/>
      <c r="E21" s="71"/>
      <c r="F21" s="10"/>
    </row>
    <row r="22" spans="1:7" ht="15.75" customHeight="1" x14ac:dyDescent="0.25">
      <c r="A22" s="10"/>
      <c r="B22" s="10"/>
      <c r="C22" s="10"/>
      <c r="D22" s="10"/>
      <c r="E22" s="71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129</v>
      </c>
      <c r="F23" s="16" t="s">
        <v>17</v>
      </c>
    </row>
    <row r="24" spans="1:7" ht="16.5" customHeight="1" x14ac:dyDescent="0.3">
      <c r="A24" s="17">
        <v>1</v>
      </c>
      <c r="B24" s="18">
        <v>62780828</v>
      </c>
      <c r="C24" s="18">
        <v>7646.5</v>
      </c>
      <c r="D24" s="19">
        <v>1.2</v>
      </c>
      <c r="E24" s="19">
        <v>0</v>
      </c>
      <c r="F24" s="20">
        <v>2.8</v>
      </c>
    </row>
    <row r="25" spans="1:7" ht="16.5" customHeight="1" x14ac:dyDescent="0.3">
      <c r="A25" s="17">
        <v>2</v>
      </c>
      <c r="B25" s="18">
        <v>62658944</v>
      </c>
      <c r="C25" s="18">
        <v>7683.4</v>
      </c>
      <c r="D25" s="19">
        <v>1.2</v>
      </c>
      <c r="E25" s="19">
        <v>0</v>
      </c>
      <c r="F25" s="19">
        <v>2.8</v>
      </c>
    </row>
    <row r="26" spans="1:7" ht="16.5" customHeight="1" x14ac:dyDescent="0.3">
      <c r="A26" s="17">
        <v>3</v>
      </c>
      <c r="B26" s="18">
        <v>62438723</v>
      </c>
      <c r="C26" s="18">
        <v>7695.3</v>
      </c>
      <c r="D26" s="19">
        <v>1.2</v>
      </c>
      <c r="E26" s="19">
        <v>0</v>
      </c>
      <c r="F26" s="19">
        <v>2.8</v>
      </c>
    </row>
    <row r="27" spans="1:7" ht="16.5" customHeight="1" x14ac:dyDescent="0.3">
      <c r="A27" s="17">
        <v>4</v>
      </c>
      <c r="B27" s="18">
        <v>62494192</v>
      </c>
      <c r="C27" s="18">
        <v>7706</v>
      </c>
      <c r="D27" s="19">
        <v>1.2</v>
      </c>
      <c r="E27" s="19">
        <v>0</v>
      </c>
      <c r="F27" s="19">
        <v>2.8</v>
      </c>
    </row>
    <row r="28" spans="1:7" ht="16.5" customHeight="1" x14ac:dyDescent="0.3">
      <c r="A28" s="17">
        <v>5</v>
      </c>
      <c r="B28" s="18">
        <v>62472099</v>
      </c>
      <c r="C28" s="18">
        <v>7717.5</v>
      </c>
      <c r="D28" s="19">
        <v>1.2</v>
      </c>
      <c r="E28" s="19">
        <v>0</v>
      </c>
      <c r="F28" s="19">
        <v>2.8</v>
      </c>
    </row>
    <row r="29" spans="1:7" ht="16.5" customHeight="1" x14ac:dyDescent="0.3">
      <c r="A29" s="17">
        <v>6</v>
      </c>
      <c r="B29" s="21">
        <v>62550185</v>
      </c>
      <c r="C29" s="21">
        <v>7723.2</v>
      </c>
      <c r="D29" s="22">
        <v>1.2</v>
      </c>
      <c r="E29" s="22">
        <v>0</v>
      </c>
      <c r="F29" s="22">
        <v>2.8</v>
      </c>
    </row>
    <row r="30" spans="1:7" ht="16.5" customHeight="1" x14ac:dyDescent="0.3">
      <c r="A30" s="23" t="s">
        <v>18</v>
      </c>
      <c r="B30" s="24">
        <f>AVERAGE(B24:B29)</f>
        <v>62565828.5</v>
      </c>
      <c r="C30" s="25">
        <f>AVERAGE(C24:C29)</f>
        <v>7695.3166666666657</v>
      </c>
      <c r="D30" s="26">
        <f>AVERAGE(D24:D29)</f>
        <v>1.2</v>
      </c>
      <c r="E30" s="26">
        <v>0</v>
      </c>
      <c r="F30" s="26">
        <f>AVERAGE(F24:F29)</f>
        <v>2.8000000000000003</v>
      </c>
    </row>
    <row r="31" spans="1:7" ht="16.5" customHeight="1" x14ac:dyDescent="0.3">
      <c r="A31" s="27" t="s">
        <v>19</v>
      </c>
      <c r="B31" s="28">
        <f>(STDEV(B24:B29)/B30)</f>
        <v>2.0865570154493343E-3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2"/>
      <c r="F32" s="35"/>
    </row>
    <row r="33" spans="1:7" s="2" customFormat="1" ht="15.75" customHeight="1" x14ac:dyDescent="0.25">
      <c r="A33" s="10"/>
      <c r="B33" s="10"/>
      <c r="C33" s="10"/>
      <c r="D33" s="10"/>
      <c r="E33" s="71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24</v>
      </c>
      <c r="C36" s="38"/>
      <c r="D36" s="38"/>
      <c r="E36" s="39"/>
      <c r="F36" s="38"/>
    </row>
    <row r="37" spans="1:7" ht="15.75" customHeight="1" x14ac:dyDescent="0.25">
      <c r="A37" s="10"/>
      <c r="B37" s="10" t="s">
        <v>130</v>
      </c>
      <c r="C37" s="10"/>
      <c r="D37" s="10"/>
      <c r="E37" s="71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12" t="s">
        <v>125</v>
      </c>
      <c r="C39" s="10"/>
      <c r="D39" s="10"/>
      <c r="E39" s="71"/>
      <c r="F39" s="10"/>
    </row>
    <row r="40" spans="1:7" ht="16.5" customHeight="1" x14ac:dyDescent="0.3">
      <c r="A40" s="11" t="s">
        <v>6</v>
      </c>
      <c r="B40" s="12">
        <v>100</v>
      </c>
      <c r="C40" s="10"/>
      <c r="D40" s="10"/>
      <c r="E40" s="71"/>
      <c r="F40" s="10"/>
    </row>
    <row r="41" spans="1:7" ht="16.5" customHeight="1" x14ac:dyDescent="0.3">
      <c r="A41" s="7" t="s">
        <v>8</v>
      </c>
      <c r="B41" s="13">
        <v>14.61</v>
      </c>
      <c r="C41" s="10"/>
      <c r="D41" s="10"/>
      <c r="E41" s="71"/>
      <c r="F41" s="10"/>
    </row>
    <row r="42" spans="1:7" ht="16.5" customHeight="1" x14ac:dyDescent="0.3">
      <c r="A42" s="7" t="s">
        <v>10</v>
      </c>
      <c r="B42" s="13">
        <f>14.61/20*4/20</f>
        <v>0.14609999999999998</v>
      </c>
      <c r="C42" s="10"/>
      <c r="D42" s="10"/>
      <c r="E42" s="71"/>
      <c r="F42" s="10"/>
    </row>
    <row r="43" spans="1:7" ht="15.75" customHeight="1" x14ac:dyDescent="0.25">
      <c r="A43" s="10"/>
      <c r="B43" s="10"/>
      <c r="C43" s="10"/>
      <c r="D43" s="10"/>
      <c r="E43" s="71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129</v>
      </c>
      <c r="F44" s="16" t="s">
        <v>17</v>
      </c>
    </row>
    <row r="45" spans="1:7" ht="16.5" customHeight="1" x14ac:dyDescent="0.3">
      <c r="A45" s="17">
        <v>1</v>
      </c>
      <c r="B45" s="18">
        <v>60426411</v>
      </c>
      <c r="C45" s="18">
        <v>5516.93</v>
      </c>
      <c r="D45" s="19">
        <v>1.07</v>
      </c>
      <c r="E45" s="19">
        <v>0</v>
      </c>
      <c r="F45" s="20">
        <v>3.08</v>
      </c>
    </row>
    <row r="46" spans="1:7" ht="16.5" customHeight="1" x14ac:dyDescent="0.3">
      <c r="A46" s="17">
        <v>2</v>
      </c>
      <c r="B46" s="18">
        <v>60501805</v>
      </c>
      <c r="C46" s="18">
        <v>5505.8</v>
      </c>
      <c r="D46" s="19">
        <v>1.1000000000000001</v>
      </c>
      <c r="E46" s="19">
        <v>0</v>
      </c>
      <c r="F46" s="19">
        <v>3.08</v>
      </c>
    </row>
    <row r="47" spans="1:7" ht="16.5" customHeight="1" x14ac:dyDescent="0.3">
      <c r="A47" s="17">
        <v>3</v>
      </c>
      <c r="B47" s="18">
        <v>60786506</v>
      </c>
      <c r="C47" s="18">
        <v>5475.77</v>
      </c>
      <c r="D47" s="19">
        <v>1.1000000000000001</v>
      </c>
      <c r="E47" s="19">
        <v>0</v>
      </c>
      <c r="F47" s="19">
        <v>3.08</v>
      </c>
    </row>
    <row r="48" spans="1:7" ht="16.5" customHeight="1" x14ac:dyDescent="0.3">
      <c r="A48" s="17">
        <v>4</v>
      </c>
      <c r="B48" s="18">
        <v>60491133</v>
      </c>
      <c r="C48" s="18">
        <v>5489.87</v>
      </c>
      <c r="D48" s="19">
        <v>1.08</v>
      </c>
      <c r="E48" s="19">
        <v>0</v>
      </c>
      <c r="F48" s="19">
        <v>3.08</v>
      </c>
    </row>
    <row r="49" spans="1:8" ht="16.5" customHeight="1" x14ac:dyDescent="0.3">
      <c r="A49" s="17">
        <v>5</v>
      </c>
      <c r="B49" s="18">
        <v>60482573</v>
      </c>
      <c r="C49" s="18">
        <v>5474.84</v>
      </c>
      <c r="D49" s="19">
        <v>1.1200000000000001</v>
      </c>
      <c r="E49" s="19">
        <v>0</v>
      </c>
      <c r="F49" s="19">
        <v>3.08</v>
      </c>
    </row>
    <row r="50" spans="1:8" ht="16.5" customHeight="1" x14ac:dyDescent="0.3">
      <c r="A50" s="17">
        <v>6</v>
      </c>
      <c r="B50" s="21">
        <v>60760651</v>
      </c>
      <c r="C50" s="21">
        <v>5485.53</v>
      </c>
      <c r="D50" s="22">
        <v>1.08</v>
      </c>
      <c r="E50" s="22">
        <v>0</v>
      </c>
      <c r="F50" s="22">
        <v>3.08</v>
      </c>
    </row>
    <row r="51" spans="1:8" ht="16.5" customHeight="1" x14ac:dyDescent="0.3">
      <c r="A51" s="23" t="s">
        <v>18</v>
      </c>
      <c r="B51" s="24">
        <v>60574846.5</v>
      </c>
      <c r="C51" s="25">
        <v>5491.456666666666</v>
      </c>
      <c r="D51" s="26">
        <v>1.0916666666666666</v>
      </c>
      <c r="E51" s="26">
        <v>0</v>
      </c>
      <c r="F51" s="26">
        <v>3.08</v>
      </c>
    </row>
    <row r="52" spans="1:8" ht="16.5" customHeight="1" x14ac:dyDescent="0.3">
      <c r="A52" s="27" t="s">
        <v>19</v>
      </c>
      <c r="B52" s="28">
        <f>(STDEV(B45:B50)/B51)</f>
        <v>2.5809665685625873E-3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72"/>
      <c r="F53" s="35"/>
    </row>
    <row r="54" spans="1:8" s="2" customFormat="1" ht="15.75" customHeight="1" x14ac:dyDescent="0.25">
      <c r="A54" s="10"/>
      <c r="B54" s="10"/>
      <c r="C54" s="10"/>
      <c r="D54" s="10"/>
      <c r="E54" s="71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7" t="s">
        <v>23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25">
      <c r="A58" s="41"/>
      <c r="B58" s="71" t="s">
        <v>131</v>
      </c>
      <c r="D58" s="42"/>
      <c r="E58" s="464"/>
      <c r="G58" s="43"/>
      <c r="H58" s="43"/>
    </row>
    <row r="59" spans="1:8" ht="15" customHeight="1" x14ac:dyDescent="0.3">
      <c r="B59" s="466" t="s">
        <v>26</v>
      </c>
      <c r="C59" s="466"/>
      <c r="F59" s="44" t="s">
        <v>27</v>
      </c>
      <c r="G59" s="45"/>
      <c r="H59" s="44" t="s">
        <v>28</v>
      </c>
    </row>
    <row r="60" spans="1:8" ht="15" customHeight="1" x14ac:dyDescent="0.3">
      <c r="A60" s="46" t="s">
        <v>29</v>
      </c>
      <c r="B60" s="47" t="s">
        <v>132</v>
      </c>
      <c r="C60" s="47"/>
      <c r="F60" s="47"/>
      <c r="G60" s="2"/>
      <c r="H60" s="48"/>
    </row>
    <row r="61" spans="1:8" ht="15" customHeight="1" x14ac:dyDescent="0.3">
      <c r="A61" s="46" t="s">
        <v>30</v>
      </c>
      <c r="B61" s="49"/>
      <c r="C61" s="49"/>
      <c r="F61" s="49"/>
      <c r="G61" s="2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0" workbookViewId="0">
      <selection activeCell="C20" sqref="C20"/>
    </sheetView>
  </sheetViews>
  <sheetFormatPr defaultRowHeight="13.5" x14ac:dyDescent="0.25"/>
  <cols>
    <col min="1" max="1" width="27.5703125" style="409" customWidth="1"/>
    <col min="2" max="2" width="20.42578125" style="409" customWidth="1"/>
    <col min="3" max="3" width="31.85546875" style="409" customWidth="1"/>
    <col min="4" max="5" width="25.85546875" style="409" customWidth="1"/>
    <col min="6" max="6" width="25.7109375" style="409" customWidth="1"/>
    <col min="7" max="7" width="23.140625" style="409" customWidth="1"/>
    <col min="8" max="8" width="28.42578125" style="409" customWidth="1"/>
    <col min="9" max="9" width="21.5703125" style="409" customWidth="1"/>
    <col min="10" max="10" width="9.140625" style="409" customWidth="1"/>
    <col min="11" max="16384" width="9.140625" style="43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465" t="s">
        <v>0</v>
      </c>
      <c r="B15" s="465"/>
      <c r="C15" s="465"/>
      <c r="D15" s="465"/>
      <c r="E15" s="465"/>
      <c r="F15" s="465"/>
    </row>
    <row r="16" spans="1:7" ht="16.5" customHeight="1" x14ac:dyDescent="0.3">
      <c r="A16" s="89" t="s">
        <v>1</v>
      </c>
      <c r="B16" s="58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71"/>
    </row>
    <row r="18" spans="1:6" ht="16.5" customHeight="1" x14ac:dyDescent="0.3">
      <c r="A18" s="74" t="s">
        <v>4</v>
      </c>
      <c r="B18" s="12" t="s">
        <v>127</v>
      </c>
      <c r="C18" s="71"/>
      <c r="D18" s="71"/>
      <c r="E18" s="71"/>
      <c r="F18" s="71"/>
    </row>
    <row r="19" spans="1:6" ht="16.5" customHeight="1" x14ac:dyDescent="0.3">
      <c r="A19" s="74" t="s">
        <v>6</v>
      </c>
      <c r="B19" s="12">
        <v>99.4</v>
      </c>
      <c r="C19" s="71"/>
      <c r="D19" s="71"/>
      <c r="E19" s="71"/>
      <c r="F19" s="71"/>
    </row>
    <row r="20" spans="1:6" ht="16.5" customHeight="1" x14ac:dyDescent="0.3">
      <c r="A20" s="8" t="s">
        <v>8</v>
      </c>
      <c r="B20" s="12">
        <v>28.95</v>
      </c>
      <c r="C20" s="71"/>
      <c r="D20" s="71"/>
      <c r="E20" s="71"/>
      <c r="F20" s="71"/>
    </row>
    <row r="21" spans="1:6" ht="16.5" customHeight="1" x14ac:dyDescent="0.3">
      <c r="A21" s="8" t="s">
        <v>10</v>
      </c>
      <c r="B21" s="13">
        <f>28.95/100</f>
        <v>0.28949999999999998</v>
      </c>
      <c r="C21" s="71"/>
      <c r="D21" s="71"/>
      <c r="E21" s="71"/>
      <c r="F21" s="71"/>
    </row>
    <row r="22" spans="1:6" ht="15.75" customHeight="1" x14ac:dyDescent="0.25">
      <c r="A22" s="71"/>
      <c r="B22" s="71"/>
      <c r="C22" s="71"/>
      <c r="D22" s="71"/>
      <c r="E22" s="71"/>
      <c r="F22" s="71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129</v>
      </c>
      <c r="F23" s="16" t="s">
        <v>17</v>
      </c>
    </row>
    <row r="24" spans="1:6" ht="16.5" customHeight="1" x14ac:dyDescent="0.3">
      <c r="A24" s="17">
        <v>1</v>
      </c>
      <c r="B24" s="18">
        <v>105843733</v>
      </c>
      <c r="C24" s="18">
        <v>7377.6</v>
      </c>
      <c r="D24" s="19">
        <v>1.1000000000000001</v>
      </c>
      <c r="E24" s="19">
        <v>5.5888099999999996</v>
      </c>
      <c r="F24" s="20">
        <v>3.6</v>
      </c>
    </row>
    <row r="25" spans="1:6" ht="16.5" customHeight="1" x14ac:dyDescent="0.3">
      <c r="A25" s="17">
        <v>2</v>
      </c>
      <c r="B25" s="18">
        <v>105654451</v>
      </c>
      <c r="C25" s="18">
        <v>7392.9</v>
      </c>
      <c r="D25" s="19">
        <v>1.1000000000000001</v>
      </c>
      <c r="E25" s="19">
        <v>5.5612500000000002</v>
      </c>
      <c r="F25" s="19">
        <v>3.6</v>
      </c>
    </row>
    <row r="26" spans="1:6" ht="16.5" customHeight="1" x14ac:dyDescent="0.3">
      <c r="A26" s="17">
        <v>3</v>
      </c>
      <c r="B26" s="18">
        <v>105314877</v>
      </c>
      <c r="C26" s="18">
        <v>7381.7</v>
      </c>
      <c r="D26" s="19">
        <v>1.1000000000000001</v>
      </c>
      <c r="E26" s="19">
        <v>5.5889899999999999</v>
      </c>
      <c r="F26" s="19">
        <v>3.7</v>
      </c>
    </row>
    <row r="27" spans="1:6" ht="16.5" customHeight="1" x14ac:dyDescent="0.3">
      <c r="A27" s="17">
        <v>4</v>
      </c>
      <c r="B27" s="18">
        <v>105428795</v>
      </c>
      <c r="C27" s="18">
        <v>7411.8</v>
      </c>
      <c r="D27" s="19">
        <v>1.1000000000000001</v>
      </c>
      <c r="E27" s="19">
        <v>5.5687899999999999</v>
      </c>
      <c r="F27" s="19">
        <v>3.6</v>
      </c>
    </row>
    <row r="28" spans="1:6" ht="16.5" customHeight="1" x14ac:dyDescent="0.3">
      <c r="A28" s="17">
        <v>5</v>
      </c>
      <c r="B28" s="18">
        <v>105378184</v>
      </c>
      <c r="C28" s="18">
        <v>7479.1</v>
      </c>
      <c r="D28" s="19">
        <v>1.1000000000000001</v>
      </c>
      <c r="E28" s="19">
        <v>5.61334</v>
      </c>
      <c r="F28" s="19">
        <v>3.7</v>
      </c>
    </row>
    <row r="29" spans="1:6" ht="16.5" customHeight="1" x14ac:dyDescent="0.3">
      <c r="A29" s="17">
        <v>6</v>
      </c>
      <c r="B29" s="21">
        <v>105528626</v>
      </c>
      <c r="C29" s="21">
        <v>7467</v>
      </c>
      <c r="D29" s="22">
        <v>1.1000000000000001</v>
      </c>
      <c r="E29" s="22">
        <v>5.6116599999999996</v>
      </c>
      <c r="F29" s="22">
        <v>3.7</v>
      </c>
    </row>
    <row r="30" spans="1:6" ht="16.5" customHeight="1" x14ac:dyDescent="0.3">
      <c r="A30" s="23" t="s">
        <v>18</v>
      </c>
      <c r="B30" s="24">
        <f>AVERAGE(B24:B29)</f>
        <v>105524777.66666667</v>
      </c>
      <c r="C30" s="25">
        <f>AVERAGE(C24:C29)</f>
        <v>7418.3499999999995</v>
      </c>
      <c r="D30" s="26">
        <f>AVERAGE(D24:D29)</f>
        <v>1.0999999999999999</v>
      </c>
      <c r="E30" s="26">
        <v>5.59</v>
      </c>
      <c r="F30" s="26">
        <f>AVERAGE(F24:F29)</f>
        <v>3.65</v>
      </c>
    </row>
    <row r="31" spans="1:6" ht="16.5" customHeight="1" x14ac:dyDescent="0.3">
      <c r="A31" s="27" t="s">
        <v>19</v>
      </c>
      <c r="B31" s="28">
        <f>(STDEV(B24:B29)/B30)</f>
        <v>1.863384535243142E-3</v>
      </c>
      <c r="C31" s="29"/>
      <c r="D31" s="29"/>
      <c r="E31" s="29"/>
      <c r="F31" s="30"/>
    </row>
    <row r="32" spans="1:6" s="409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72"/>
      <c r="F32" s="35"/>
    </row>
    <row r="33" spans="1:6" s="409" customFormat="1" ht="15.75" customHeight="1" x14ac:dyDescent="0.25">
      <c r="A33" s="71"/>
      <c r="B33" s="71"/>
      <c r="C33" s="71"/>
      <c r="D33" s="71"/>
      <c r="E33" s="71"/>
      <c r="F33" s="71"/>
    </row>
    <row r="34" spans="1:6" s="409" customFormat="1" ht="16.5" customHeight="1" x14ac:dyDescent="0.3">
      <c r="A34" s="74" t="s">
        <v>21</v>
      </c>
      <c r="B34" s="40" t="s">
        <v>22</v>
      </c>
      <c r="C34" s="39"/>
      <c r="D34" s="39"/>
      <c r="E34" s="39"/>
      <c r="F34" s="39"/>
    </row>
    <row r="35" spans="1:6" ht="16.5" customHeight="1" x14ac:dyDescent="0.3">
      <c r="A35" s="74"/>
      <c r="B35" s="40" t="s">
        <v>23</v>
      </c>
      <c r="C35" s="39"/>
      <c r="D35" s="39"/>
      <c r="E35" s="39"/>
      <c r="F35" s="39"/>
    </row>
    <row r="36" spans="1:6" ht="16.5" customHeight="1" x14ac:dyDescent="0.3">
      <c r="A36" s="74"/>
      <c r="B36" s="40" t="s">
        <v>24</v>
      </c>
      <c r="C36" s="39"/>
      <c r="D36" s="39"/>
      <c r="E36" s="39"/>
      <c r="F36" s="39"/>
    </row>
    <row r="37" spans="1:6" ht="15.75" customHeight="1" x14ac:dyDescent="0.25">
      <c r="A37" s="71"/>
      <c r="B37" s="71" t="s">
        <v>130</v>
      </c>
      <c r="C37" s="71"/>
      <c r="D37" s="71"/>
      <c r="E37" s="71"/>
      <c r="F37" s="71"/>
    </row>
    <row r="38" spans="1:6" ht="16.5" customHeight="1" x14ac:dyDescent="0.3">
      <c r="A38" s="89" t="s">
        <v>1</v>
      </c>
      <c r="B38" s="58" t="s">
        <v>25</v>
      </c>
    </row>
    <row r="39" spans="1:6" ht="16.5" customHeight="1" x14ac:dyDescent="0.3">
      <c r="A39" s="74" t="s">
        <v>4</v>
      </c>
      <c r="B39" s="8" t="s">
        <v>127</v>
      </c>
      <c r="C39" s="71"/>
      <c r="D39" s="71"/>
      <c r="E39" s="71"/>
      <c r="F39" s="71"/>
    </row>
    <row r="40" spans="1:6" ht="16.5" customHeight="1" x14ac:dyDescent="0.3">
      <c r="A40" s="74" t="s">
        <v>6</v>
      </c>
      <c r="B40" s="12">
        <v>99.4</v>
      </c>
      <c r="C40" s="71"/>
      <c r="D40" s="71"/>
      <c r="E40" s="71"/>
      <c r="F40" s="71"/>
    </row>
    <row r="41" spans="1:6" ht="16.5" customHeight="1" x14ac:dyDescent="0.3">
      <c r="A41" s="8" t="s">
        <v>8</v>
      </c>
      <c r="B41" s="13">
        <v>28.39</v>
      </c>
      <c r="C41" s="71"/>
      <c r="D41" s="71"/>
      <c r="E41" s="71"/>
      <c r="F41" s="71"/>
    </row>
    <row r="42" spans="1:6" ht="16.5" customHeight="1" x14ac:dyDescent="0.3">
      <c r="A42" s="8" t="s">
        <v>10</v>
      </c>
      <c r="B42" s="13">
        <f>28.39/20*4/20</f>
        <v>0.28389999999999999</v>
      </c>
      <c r="C42" s="71"/>
      <c r="D42" s="71"/>
      <c r="E42" s="71"/>
      <c r="F42" s="71"/>
    </row>
    <row r="43" spans="1:6" ht="15.75" customHeight="1" x14ac:dyDescent="0.25">
      <c r="A43" s="71"/>
      <c r="B43" s="71"/>
      <c r="C43" s="71"/>
      <c r="D43" s="71"/>
      <c r="E43" s="71"/>
      <c r="F43" s="71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129</v>
      </c>
      <c r="F44" s="16" t="s">
        <v>17</v>
      </c>
    </row>
    <row r="45" spans="1:6" ht="16.5" customHeight="1" x14ac:dyDescent="0.3">
      <c r="A45" s="17">
        <v>1</v>
      </c>
      <c r="B45" s="18">
        <v>103243104</v>
      </c>
      <c r="C45" s="18">
        <v>7179.08</v>
      </c>
      <c r="D45" s="19">
        <v>1.07</v>
      </c>
      <c r="E45" s="19">
        <v>9.41</v>
      </c>
      <c r="F45" s="20">
        <v>4.96</v>
      </c>
    </row>
    <row r="46" spans="1:6" ht="16.5" customHeight="1" x14ac:dyDescent="0.3">
      <c r="A46" s="17">
        <v>2</v>
      </c>
      <c r="B46" s="18">
        <v>103390967</v>
      </c>
      <c r="C46" s="18">
        <v>7186.22</v>
      </c>
      <c r="D46" s="19">
        <v>1.07</v>
      </c>
      <c r="E46" s="19">
        <v>9.41</v>
      </c>
      <c r="F46" s="19">
        <v>4.96</v>
      </c>
    </row>
    <row r="47" spans="1:6" ht="16.5" customHeight="1" x14ac:dyDescent="0.3">
      <c r="A47" s="17">
        <v>3</v>
      </c>
      <c r="B47" s="18">
        <v>103985990</v>
      </c>
      <c r="C47" s="18">
        <v>7144.15</v>
      </c>
      <c r="D47" s="19">
        <v>1.08</v>
      </c>
      <c r="E47" s="19">
        <v>9.3800000000000008</v>
      </c>
      <c r="F47" s="19">
        <v>4.96</v>
      </c>
    </row>
    <row r="48" spans="1:6" ht="16.5" customHeight="1" x14ac:dyDescent="0.3">
      <c r="A48" s="17">
        <v>4</v>
      </c>
      <c r="B48" s="18">
        <v>103374653</v>
      </c>
      <c r="C48" s="18">
        <v>7161.85</v>
      </c>
      <c r="D48" s="19">
        <v>1.06</v>
      </c>
      <c r="E48" s="19">
        <v>9.39</v>
      </c>
      <c r="F48" s="19">
        <v>4.96</v>
      </c>
    </row>
    <row r="49" spans="1:8" ht="16.5" customHeight="1" x14ac:dyDescent="0.3">
      <c r="A49" s="17">
        <v>5</v>
      </c>
      <c r="B49" s="18">
        <v>103405466</v>
      </c>
      <c r="C49" s="18">
        <v>7157.94</v>
      </c>
      <c r="D49" s="19">
        <v>1.06</v>
      </c>
      <c r="E49" s="19">
        <v>9.41</v>
      </c>
      <c r="F49" s="19">
        <v>4.96</v>
      </c>
    </row>
    <row r="50" spans="1:8" ht="16.5" customHeight="1" x14ac:dyDescent="0.3">
      <c r="A50" s="17">
        <v>6</v>
      </c>
      <c r="B50" s="21">
        <v>103842669</v>
      </c>
      <c r="C50" s="21">
        <v>7108.88</v>
      </c>
      <c r="D50" s="22">
        <v>1.08</v>
      </c>
      <c r="E50" s="22">
        <v>9.35</v>
      </c>
      <c r="F50" s="22">
        <v>4.96</v>
      </c>
    </row>
    <row r="51" spans="1:8" ht="16.5" customHeight="1" x14ac:dyDescent="0.3">
      <c r="A51" s="23" t="s">
        <v>18</v>
      </c>
      <c r="B51" s="24">
        <v>103540474.83333333</v>
      </c>
      <c r="C51" s="25">
        <v>7156.3533333333326</v>
      </c>
      <c r="D51" s="26">
        <v>1.07</v>
      </c>
      <c r="E51" s="26">
        <v>9.39</v>
      </c>
      <c r="F51" s="26">
        <v>4.96</v>
      </c>
    </row>
    <row r="52" spans="1:8" ht="16.5" customHeight="1" x14ac:dyDescent="0.3">
      <c r="A52" s="27" t="s">
        <v>19</v>
      </c>
      <c r="B52" s="28">
        <f>(STDEV(B45:B50)/B51)</f>
        <v>2.8855181501425456E-3</v>
      </c>
      <c r="C52" s="29"/>
      <c r="D52" s="29"/>
      <c r="E52" s="29"/>
      <c r="F52" s="30"/>
    </row>
    <row r="53" spans="1:8" s="409" customFormat="1" ht="16.5" customHeight="1" x14ac:dyDescent="0.3">
      <c r="A53" s="31" t="s">
        <v>20</v>
      </c>
      <c r="B53" s="32">
        <f>COUNT(B45:B50)</f>
        <v>6</v>
      </c>
      <c r="C53" s="33"/>
      <c r="D53" s="72"/>
      <c r="E53" s="72"/>
      <c r="F53" s="35"/>
    </row>
    <row r="54" spans="1:8" s="409" customFormat="1" ht="15.75" customHeight="1" x14ac:dyDescent="0.25">
      <c r="A54" s="71"/>
      <c r="B54" s="71"/>
      <c r="C54" s="71"/>
      <c r="D54" s="71"/>
      <c r="E54" s="71"/>
      <c r="F54" s="71"/>
    </row>
    <row r="55" spans="1:8" s="409" customFormat="1" ht="16.5" customHeight="1" x14ac:dyDescent="0.3">
      <c r="A55" s="74" t="s">
        <v>21</v>
      </c>
      <c r="B55" s="40" t="s">
        <v>22</v>
      </c>
      <c r="C55" s="39"/>
      <c r="D55" s="39"/>
      <c r="E55" s="39"/>
      <c r="F55" s="39"/>
    </row>
    <row r="56" spans="1:8" ht="16.5" customHeight="1" x14ac:dyDescent="0.3">
      <c r="A56" s="74"/>
      <c r="B56" s="40" t="s">
        <v>23</v>
      </c>
      <c r="C56" s="39"/>
      <c r="D56" s="39"/>
      <c r="E56" s="39"/>
      <c r="F56" s="39"/>
    </row>
    <row r="57" spans="1:8" ht="16.5" customHeight="1" x14ac:dyDescent="0.3">
      <c r="A57" s="74"/>
      <c r="B57" s="40" t="s">
        <v>24</v>
      </c>
      <c r="C57" s="39"/>
      <c r="D57" s="39"/>
      <c r="E57" s="39"/>
      <c r="F57" s="39"/>
    </row>
    <row r="58" spans="1:8" ht="14.25" customHeight="1" thickBot="1" x14ac:dyDescent="0.3">
      <c r="A58" s="41"/>
      <c r="B58" s="71" t="s">
        <v>131</v>
      </c>
      <c r="D58" s="42"/>
      <c r="E58" s="464"/>
      <c r="G58" s="43"/>
      <c r="H58" s="43"/>
    </row>
    <row r="59" spans="1:8" ht="15" customHeight="1" x14ac:dyDescent="0.3">
      <c r="B59" s="466" t="s">
        <v>26</v>
      </c>
      <c r="C59" s="466"/>
      <c r="F59" s="463" t="s">
        <v>27</v>
      </c>
      <c r="G59" s="45"/>
      <c r="H59" s="463" t="s">
        <v>28</v>
      </c>
    </row>
    <row r="60" spans="1:8" ht="15" customHeight="1" x14ac:dyDescent="0.3">
      <c r="A60" s="46" t="s">
        <v>29</v>
      </c>
      <c r="B60" s="48" t="s">
        <v>132</v>
      </c>
      <c r="C60" s="48"/>
      <c r="F60" s="48"/>
      <c r="H60" s="48"/>
    </row>
    <row r="61" spans="1:8" ht="15" customHeight="1" x14ac:dyDescent="0.3">
      <c r="A61" s="46" t="s">
        <v>30</v>
      </c>
      <c r="B61" s="49"/>
      <c r="C61" s="49"/>
      <c r="F61" s="49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4" workbookViewId="0">
      <selection activeCell="A54" sqref="A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31</v>
      </c>
      <c r="B11" s="471"/>
      <c r="C11" s="471"/>
      <c r="D11" s="471"/>
      <c r="E11" s="471"/>
      <c r="F11" s="472"/>
      <c r="G11" s="90"/>
    </row>
    <row r="12" spans="1:7" ht="16.5" customHeight="1" x14ac:dyDescent="0.3">
      <c r="A12" s="469" t="s">
        <v>32</v>
      </c>
      <c r="B12" s="469"/>
      <c r="C12" s="469"/>
      <c r="D12" s="469"/>
      <c r="E12" s="469"/>
      <c r="F12" s="469"/>
      <c r="G12" s="89"/>
    </row>
    <row r="14" spans="1:7" ht="16.5" customHeight="1" x14ac:dyDescent="0.3">
      <c r="A14" s="474" t="s">
        <v>33</v>
      </c>
      <c r="B14" s="474"/>
      <c r="C14" s="59" t="s">
        <v>5</v>
      </c>
    </row>
    <row r="15" spans="1:7" ht="16.5" customHeight="1" x14ac:dyDescent="0.3">
      <c r="A15" s="474" t="s">
        <v>34</v>
      </c>
      <c r="B15" s="474"/>
      <c r="C15" s="59" t="s">
        <v>7</v>
      </c>
    </row>
    <row r="16" spans="1:7" ht="16.5" customHeight="1" x14ac:dyDescent="0.3">
      <c r="A16" s="474" t="s">
        <v>35</v>
      </c>
      <c r="B16" s="474"/>
      <c r="C16" s="59" t="s">
        <v>9</v>
      </c>
    </row>
    <row r="17" spans="1:5" ht="16.5" customHeight="1" x14ac:dyDescent="0.3">
      <c r="A17" s="474" t="s">
        <v>36</v>
      </c>
      <c r="B17" s="474"/>
      <c r="C17" s="59" t="s">
        <v>11</v>
      </c>
    </row>
    <row r="18" spans="1:5" ht="16.5" customHeight="1" x14ac:dyDescent="0.3">
      <c r="A18" s="474" t="s">
        <v>37</v>
      </c>
      <c r="B18" s="474"/>
      <c r="C18" s="96" t="s">
        <v>12</v>
      </c>
    </row>
    <row r="19" spans="1:5" ht="16.5" customHeight="1" x14ac:dyDescent="0.3">
      <c r="A19" s="474" t="s">
        <v>38</v>
      </c>
      <c r="B19" s="474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69" t="s">
        <v>1</v>
      </c>
      <c r="B21" s="469"/>
      <c r="C21" s="58" t="s">
        <v>39</v>
      </c>
      <c r="D21" s="65"/>
    </row>
    <row r="22" spans="1:5" ht="15.75" customHeight="1" x14ac:dyDescent="0.3">
      <c r="A22" s="473"/>
      <c r="B22" s="473"/>
      <c r="C22" s="56"/>
      <c r="D22" s="473"/>
      <c r="E22" s="473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762.61</v>
      </c>
      <c r="D24" s="86">
        <f t="shared" ref="D24:D43" si="0">(C24-$C$46)/$C$46</f>
        <v>-4.9205290840978032E-3</v>
      </c>
      <c r="E24" s="52"/>
    </row>
    <row r="25" spans="1:5" ht="15.75" customHeight="1" x14ac:dyDescent="0.3">
      <c r="C25" s="94">
        <v>768.17</v>
      </c>
      <c r="D25" s="87">
        <f t="shared" si="0"/>
        <v>2.334348059255106E-3</v>
      </c>
      <c r="E25" s="52"/>
    </row>
    <row r="26" spans="1:5" ht="15.75" customHeight="1" x14ac:dyDescent="0.3">
      <c r="C26" s="94">
        <v>769.49</v>
      </c>
      <c r="D26" s="87">
        <f t="shared" si="0"/>
        <v>4.05672896379221E-3</v>
      </c>
      <c r="E26" s="52"/>
    </row>
    <row r="27" spans="1:5" ht="15.75" customHeight="1" x14ac:dyDescent="0.3">
      <c r="C27" s="94">
        <v>760.48</v>
      </c>
      <c r="D27" s="87">
        <f t="shared" si="0"/>
        <v>-7.6998255436916546E-3</v>
      </c>
      <c r="E27" s="52"/>
    </row>
    <row r="28" spans="1:5" ht="15.75" customHeight="1" x14ac:dyDescent="0.3">
      <c r="C28" s="94">
        <v>762.38</v>
      </c>
      <c r="D28" s="87">
        <f t="shared" si="0"/>
        <v>-5.2206409083732199E-3</v>
      </c>
      <c r="E28" s="52"/>
    </row>
    <row r="29" spans="1:5" ht="15.75" customHeight="1" x14ac:dyDescent="0.3">
      <c r="C29" s="94">
        <v>767.95</v>
      </c>
      <c r="D29" s="87">
        <f t="shared" si="0"/>
        <v>2.0472845751657123E-3</v>
      </c>
      <c r="E29" s="52"/>
    </row>
    <row r="30" spans="1:5" ht="15.75" customHeight="1" x14ac:dyDescent="0.3">
      <c r="C30" s="94">
        <v>771.47</v>
      </c>
      <c r="D30" s="87">
        <f t="shared" si="0"/>
        <v>6.6403003205977914E-3</v>
      </c>
      <c r="E30" s="52"/>
    </row>
    <row r="31" spans="1:5" ht="15.75" customHeight="1" x14ac:dyDescent="0.3">
      <c r="C31" s="94">
        <v>758.41</v>
      </c>
      <c r="D31" s="87">
        <f t="shared" si="0"/>
        <v>-1.0400831962170258E-2</v>
      </c>
      <c r="E31" s="52"/>
    </row>
    <row r="32" spans="1:5" ht="15.75" customHeight="1" x14ac:dyDescent="0.3">
      <c r="C32" s="94">
        <v>767.04</v>
      </c>
      <c r="D32" s="87">
        <f t="shared" si="0"/>
        <v>8.5988561824991991E-4</v>
      </c>
      <c r="E32" s="52"/>
    </row>
    <row r="33" spans="1:7" ht="15.75" customHeight="1" x14ac:dyDescent="0.3">
      <c r="C33" s="94">
        <v>762.54</v>
      </c>
      <c r="D33" s="87">
        <f t="shared" si="0"/>
        <v>-5.0118674653990749E-3</v>
      </c>
      <c r="E33" s="52"/>
    </row>
    <row r="34" spans="1:7" ht="15.75" customHeight="1" x14ac:dyDescent="0.3">
      <c r="C34" s="94">
        <v>774.93</v>
      </c>
      <c r="D34" s="87">
        <f t="shared" si="0"/>
        <v>1.1155026024914473E-2</v>
      </c>
      <c r="E34" s="52"/>
    </row>
    <row r="35" spans="1:7" ht="15.75" customHeight="1" x14ac:dyDescent="0.3">
      <c r="C35" s="94">
        <v>760.73</v>
      </c>
      <c r="D35" s="87">
        <f t="shared" si="0"/>
        <v>-7.373617039044488E-3</v>
      </c>
      <c r="E35" s="52"/>
    </row>
    <row r="36" spans="1:7" ht="15.75" customHeight="1" x14ac:dyDescent="0.3">
      <c r="C36" s="94">
        <v>777.31</v>
      </c>
      <c r="D36" s="87">
        <f t="shared" si="0"/>
        <v>1.4260530989155491E-2</v>
      </c>
      <c r="E36" s="52"/>
    </row>
    <row r="37" spans="1:7" ht="15.75" customHeight="1" x14ac:dyDescent="0.3">
      <c r="C37" s="94">
        <v>773.51</v>
      </c>
      <c r="D37" s="87">
        <f t="shared" si="0"/>
        <v>9.3021617185186211E-3</v>
      </c>
      <c r="E37" s="52"/>
    </row>
    <row r="38" spans="1:7" ht="15.75" customHeight="1" x14ac:dyDescent="0.3">
      <c r="C38" s="94">
        <v>769.81</v>
      </c>
      <c r="D38" s="87">
        <f t="shared" si="0"/>
        <v>4.4742758497404991E-3</v>
      </c>
      <c r="E38" s="52"/>
    </row>
    <row r="39" spans="1:7" ht="15.75" customHeight="1" x14ac:dyDescent="0.3">
      <c r="C39" s="94">
        <v>757.35</v>
      </c>
      <c r="D39" s="87">
        <f t="shared" si="0"/>
        <v>-1.1783956021874171E-2</v>
      </c>
      <c r="E39" s="52"/>
    </row>
    <row r="40" spans="1:7" ht="15.75" customHeight="1" x14ac:dyDescent="0.3">
      <c r="C40" s="94">
        <v>769.88</v>
      </c>
      <c r="D40" s="87">
        <f t="shared" si="0"/>
        <v>4.5656142310417716E-3</v>
      </c>
      <c r="E40" s="52"/>
    </row>
    <row r="41" spans="1:7" ht="15.75" customHeight="1" x14ac:dyDescent="0.3">
      <c r="C41" s="94">
        <v>758.12</v>
      </c>
      <c r="D41" s="87">
        <f t="shared" si="0"/>
        <v>-1.0779233827560923E-2</v>
      </c>
      <c r="E41" s="52"/>
    </row>
    <row r="42" spans="1:7" ht="15.75" customHeight="1" x14ac:dyDescent="0.3">
      <c r="C42" s="94">
        <v>766.67</v>
      </c>
      <c r="D42" s="87">
        <f t="shared" si="0"/>
        <v>3.7709703137210772E-4</v>
      </c>
      <c r="E42" s="52"/>
    </row>
    <row r="43" spans="1:7" ht="16.5" customHeight="1" x14ac:dyDescent="0.3">
      <c r="C43" s="95">
        <v>768.77</v>
      </c>
      <c r="D43" s="88">
        <f t="shared" si="0"/>
        <v>3.1172484704083347E-3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15327.619999999999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766.38099999999997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67">
        <f>C46</f>
        <v>766.38099999999997</v>
      </c>
      <c r="C49" s="92">
        <f>-IF(C46&lt;=80,10%,IF(C46&lt;250,7.5%,5%))</f>
        <v>-0.05</v>
      </c>
      <c r="D49" s="80">
        <f>IF(C46&lt;=80,C46*0.9,IF(C46&lt;250,C46*0.925,C46*0.95))</f>
        <v>728.06194999999991</v>
      </c>
    </row>
    <row r="50" spans="1:6" ht="17.25" customHeight="1" x14ac:dyDescent="0.3">
      <c r="B50" s="468"/>
      <c r="C50" s="93">
        <f>IF(C46&lt;=80, 10%, IF(C46&lt;250, 7.5%, 5%))</f>
        <v>0.05</v>
      </c>
      <c r="D50" s="80">
        <f>IF(C46&lt;=80, C46*1.1, IF(C46&lt;250, C46*1.075, C46*1.05))</f>
        <v>804.70005000000003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0" orientation="portrait" r:id="rId1"/>
  <headerFooter alignWithMargins="0"/>
  <colBreaks count="1" manualBreakCount="1">
    <brk id="6" min="11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8" zoomScale="60" zoomScaleNormal="40" zoomScalePageLayoutView="60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3" t="s">
        <v>45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46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x14ac:dyDescent="0.3">
      <c r="A15" s="97"/>
    </row>
    <row r="16" spans="1:9" ht="19.5" customHeight="1" x14ac:dyDescent="0.3">
      <c r="A16" s="476" t="s">
        <v>31</v>
      </c>
      <c r="B16" s="477"/>
      <c r="C16" s="477"/>
      <c r="D16" s="477"/>
      <c r="E16" s="477"/>
      <c r="F16" s="477"/>
      <c r="G16" s="477"/>
      <c r="H16" s="478"/>
    </row>
    <row r="17" spans="1:14" ht="20.25" customHeight="1" x14ac:dyDescent="0.25">
      <c r="A17" s="479" t="s">
        <v>47</v>
      </c>
      <c r="B17" s="479"/>
      <c r="C17" s="479"/>
      <c r="D17" s="479"/>
      <c r="E17" s="479"/>
      <c r="F17" s="479"/>
      <c r="G17" s="479"/>
      <c r="H17" s="479"/>
    </row>
    <row r="18" spans="1:14" ht="26.25" customHeight="1" x14ac:dyDescent="0.4">
      <c r="A18" s="99" t="s">
        <v>33</v>
      </c>
      <c r="B18" s="475" t="s">
        <v>5</v>
      </c>
      <c r="C18" s="475"/>
      <c r="D18" s="266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79">
        <v>29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480" t="s">
        <v>125</v>
      </c>
      <c r="C20" s="480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480" t="s">
        <v>11</v>
      </c>
      <c r="C21" s="480"/>
      <c r="D21" s="480"/>
      <c r="E21" s="480"/>
      <c r="F21" s="480"/>
      <c r="G21" s="480"/>
      <c r="H21" s="480"/>
      <c r="I21" s="103"/>
    </row>
    <row r="22" spans="1:14" ht="26.25" customHeight="1" x14ac:dyDescent="0.4">
      <c r="A22" s="99" t="s">
        <v>37</v>
      </c>
      <c r="B22" s="104">
        <v>42608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42609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475" t="s">
        <v>125</v>
      </c>
      <c r="C26" s="475"/>
    </row>
    <row r="27" spans="1:14" ht="26.25" customHeight="1" x14ac:dyDescent="0.4">
      <c r="A27" s="108" t="s">
        <v>48</v>
      </c>
      <c r="B27" s="481" t="s">
        <v>126</v>
      </c>
      <c r="C27" s="481"/>
    </row>
    <row r="28" spans="1:14" ht="27" customHeight="1" x14ac:dyDescent="0.4">
      <c r="A28" s="108" t="s">
        <v>6</v>
      </c>
      <c r="B28" s="109">
        <v>100</v>
      </c>
    </row>
    <row r="29" spans="1:14" s="14" customFormat="1" ht="27" customHeight="1" x14ac:dyDescent="0.4">
      <c r="A29" s="108" t="s">
        <v>49</v>
      </c>
      <c r="B29" s="110">
        <v>0</v>
      </c>
      <c r="C29" s="482" t="s">
        <v>50</v>
      </c>
      <c r="D29" s="483"/>
      <c r="E29" s="483"/>
      <c r="F29" s="483"/>
      <c r="G29" s="484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100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485" t="s">
        <v>53</v>
      </c>
      <c r="D31" s="486"/>
      <c r="E31" s="486"/>
      <c r="F31" s="486"/>
      <c r="G31" s="486"/>
      <c r="H31" s="487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485" t="s">
        <v>55</v>
      </c>
      <c r="D32" s="486"/>
      <c r="E32" s="486"/>
      <c r="F32" s="486"/>
      <c r="G32" s="486"/>
      <c r="H32" s="487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100</v>
      </c>
      <c r="C36" s="98"/>
      <c r="D36" s="488" t="s">
        <v>59</v>
      </c>
      <c r="E36" s="489"/>
      <c r="F36" s="488" t="s">
        <v>60</v>
      </c>
      <c r="G36" s="490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1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1</v>
      </c>
      <c r="C38" s="130">
        <v>1</v>
      </c>
      <c r="D38" s="131">
        <v>62432988</v>
      </c>
      <c r="E38" s="132">
        <f>IF(ISBLANK(D38),"-",$D$48/$D$45*D38)</f>
        <v>62558104.208416827</v>
      </c>
      <c r="F38" s="131">
        <v>65341961</v>
      </c>
      <c r="G38" s="133">
        <f>IF(ISBLANK(F38),"-",$D$48/$F$45*F38)</f>
        <v>62072793.856871441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62711332</v>
      </c>
      <c r="E39" s="137">
        <f>IF(ISBLANK(D39),"-",$D$48/$D$45*D39)</f>
        <v>62837006.012024038</v>
      </c>
      <c r="F39" s="136">
        <v>65664430</v>
      </c>
      <c r="G39" s="138">
        <f>IF(ISBLANK(F39),"-",$D$48/$F$45*F39)</f>
        <v>62379129.195693478</v>
      </c>
      <c r="I39" s="492">
        <f>ABS((F43/D43*D42)-F42)/D42</f>
        <v>9.2449021213356283E-3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62354166</v>
      </c>
      <c r="E40" s="137">
        <f>IF(ISBLANK(D40),"-",$D$48/$D$45*D40)</f>
        <v>62479124.248496987</v>
      </c>
      <c r="F40" s="136">
        <v>65029148</v>
      </c>
      <c r="G40" s="138">
        <f>IF(ISBLANK(F40),"-",$D$48/$F$45*F40)</f>
        <v>61775631.412286259</v>
      </c>
      <c r="I40" s="492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62499495.333333336</v>
      </c>
      <c r="E42" s="147">
        <f>AVERAGE(E38:E41)</f>
        <v>62624744.822979279</v>
      </c>
      <c r="F42" s="146">
        <f>AVERAGE(F38:F41)</f>
        <v>65345179.666666664</v>
      </c>
      <c r="G42" s="148">
        <f>AVERAGE(G38:G41)</f>
        <v>62075851.488283724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14.97</v>
      </c>
      <c r="E43" s="139"/>
      <c r="F43" s="151">
        <v>15.79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14.97</v>
      </c>
      <c r="E44" s="154"/>
      <c r="F44" s="153">
        <f>F43*$B$34</f>
        <v>15.79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14.97</v>
      </c>
      <c r="E45" s="157"/>
      <c r="F45" s="156">
        <f>F44*$B$30/100</f>
        <v>15.79</v>
      </c>
      <c r="H45" s="149"/>
    </row>
    <row r="46" spans="1:14" ht="19.5" customHeight="1" x14ac:dyDescent="0.3">
      <c r="A46" s="493" t="s">
        <v>78</v>
      </c>
      <c r="B46" s="494"/>
      <c r="C46" s="152" t="s">
        <v>79</v>
      </c>
      <c r="D46" s="158">
        <f>D45/$B$45</f>
        <v>0.1497</v>
      </c>
      <c r="E46" s="159"/>
      <c r="F46" s="160">
        <f>F45/$B$45</f>
        <v>0.15789999999999998</v>
      </c>
      <c r="H46" s="149"/>
    </row>
    <row r="47" spans="1:14" ht="27" customHeight="1" x14ac:dyDescent="0.4">
      <c r="A47" s="495"/>
      <c r="B47" s="496"/>
      <c r="C47" s="161" t="s">
        <v>80</v>
      </c>
      <c r="D47" s="162">
        <v>0.15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15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15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62350298.155631512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6.0213338489367389E-3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film coated tablet contains Zidovudine 300 mg. Lamivudine 150 mg</v>
      </c>
    </row>
    <row r="56" spans="1:12" ht="26.25" customHeight="1" x14ac:dyDescent="0.4">
      <c r="A56" s="176" t="s">
        <v>87</v>
      </c>
      <c r="B56" s="177">
        <v>150</v>
      </c>
      <c r="C56" s="98" t="str">
        <f>B20</f>
        <v>Lamivudine</v>
      </c>
      <c r="H56" s="178"/>
    </row>
    <row r="57" spans="1:12" ht="18.75" x14ac:dyDescent="0.3">
      <c r="A57" s="175" t="s">
        <v>88</v>
      </c>
      <c r="B57" s="267">
        <f>Uniformity!C46</f>
        <v>766.38099999999997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10</v>
      </c>
      <c r="C60" s="497" t="s">
        <v>94</v>
      </c>
      <c r="D60" s="500">
        <v>764.58</v>
      </c>
      <c r="E60" s="181">
        <v>1</v>
      </c>
      <c r="F60" s="182"/>
      <c r="G60" s="268" t="str">
        <f>IF(ISBLANK(F60),"-",(F60/$D$50*$D$47*$B$68)*($B$57/$D$60))</f>
        <v>-</v>
      </c>
      <c r="H60" s="183" t="str">
        <f t="shared" ref="H60:H71" si="0">IF(ISBLANK(F60),"-",G60/$B$56)</f>
        <v>-</v>
      </c>
      <c r="L60" s="111"/>
    </row>
    <row r="61" spans="1:12" s="14" customFormat="1" ht="26.25" customHeight="1" x14ac:dyDescent="0.4">
      <c r="A61" s="123" t="s">
        <v>95</v>
      </c>
      <c r="B61" s="124">
        <v>100</v>
      </c>
      <c r="C61" s="498"/>
      <c r="D61" s="501"/>
      <c r="E61" s="184">
        <v>2</v>
      </c>
      <c r="F61" s="136"/>
      <c r="G61" s="269" t="str">
        <f>IF(ISBLANK(F61),"-",(F61/$D$50*$D$47*$B$68)*($B$57/$D$60))</f>
        <v>-</v>
      </c>
      <c r="H61" s="185" t="str">
        <f t="shared" si="0"/>
        <v>-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498"/>
      <c r="D62" s="501"/>
      <c r="E62" s="184">
        <v>3</v>
      </c>
      <c r="F62" s="186"/>
      <c r="G62" s="269" t="str">
        <f>IF(ISBLANK(F62),"-",(F62/$D$50*$D$47*$B$68)*($B$57/$D$60))</f>
        <v>-</v>
      </c>
      <c r="H62" s="185" t="str">
        <f t="shared" si="0"/>
        <v>-</v>
      </c>
      <c r="L62" s="111"/>
    </row>
    <row r="63" spans="1:12" ht="27" customHeight="1" x14ac:dyDescent="0.4">
      <c r="A63" s="123" t="s">
        <v>97</v>
      </c>
      <c r="B63" s="124">
        <v>1</v>
      </c>
      <c r="C63" s="499"/>
      <c r="D63" s="502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497" t="s">
        <v>99</v>
      </c>
      <c r="D64" s="500">
        <v>766.35</v>
      </c>
      <c r="E64" s="181">
        <v>1</v>
      </c>
      <c r="F64" s="182">
        <v>57906594</v>
      </c>
      <c r="G64" s="270">
        <f>IF(ISBLANK(F64),"-",(F64/$D$50*$D$47*$B$68)*($B$57/$D$64))</f>
        <v>139.31513911171089</v>
      </c>
      <c r="H64" s="189">
        <f t="shared" si="0"/>
        <v>0.92876759407807263</v>
      </c>
    </row>
    <row r="65" spans="1:8" ht="26.25" customHeight="1" x14ac:dyDescent="0.4">
      <c r="A65" s="123" t="s">
        <v>100</v>
      </c>
      <c r="B65" s="124">
        <v>1</v>
      </c>
      <c r="C65" s="498"/>
      <c r="D65" s="501"/>
      <c r="E65" s="184">
        <v>2</v>
      </c>
      <c r="F65" s="136">
        <v>57621473</v>
      </c>
      <c r="G65" s="271">
        <f>IF(ISBLANK(F65),"-",(F65/$D$50*$D$47*$B$68)*($B$57/$D$64))</f>
        <v>138.62917799683908</v>
      </c>
      <c r="H65" s="190">
        <f t="shared" si="0"/>
        <v>0.92419451997892721</v>
      </c>
    </row>
    <row r="66" spans="1:8" ht="26.25" customHeight="1" x14ac:dyDescent="0.4">
      <c r="A66" s="123" t="s">
        <v>101</v>
      </c>
      <c r="B66" s="124">
        <v>1</v>
      </c>
      <c r="C66" s="498"/>
      <c r="D66" s="501"/>
      <c r="E66" s="184">
        <v>3</v>
      </c>
      <c r="F66" s="136">
        <v>57665361</v>
      </c>
      <c r="G66" s="271">
        <f>IF(ISBLANK(F66),"-",(F66/$D$50*$D$47*$B$68)*($B$57/$D$64))</f>
        <v>138.73476636602092</v>
      </c>
      <c r="H66" s="190">
        <f t="shared" si="0"/>
        <v>0.92489844244013952</v>
      </c>
    </row>
    <row r="67" spans="1:8" ht="27" customHeight="1" x14ac:dyDescent="0.4">
      <c r="A67" s="123" t="s">
        <v>102</v>
      </c>
      <c r="B67" s="124">
        <v>1</v>
      </c>
      <c r="C67" s="499"/>
      <c r="D67" s="502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103</v>
      </c>
      <c r="B68" s="192">
        <f>(B67/B66)*(B65/B64)*(B63/B62)*(B61/B60)*B59</f>
        <v>1000</v>
      </c>
      <c r="C68" s="497" t="s">
        <v>104</v>
      </c>
      <c r="D68" s="500">
        <v>768.55</v>
      </c>
      <c r="E68" s="181">
        <v>1</v>
      </c>
      <c r="F68" s="182">
        <v>56445885</v>
      </c>
      <c r="G68" s="270">
        <f>IF(ISBLANK(F68),"-",(F68/$D$50*$D$47*$B$68)*($B$57/$D$68))</f>
        <v>135.41214369767366</v>
      </c>
      <c r="H68" s="185">
        <f t="shared" si="0"/>
        <v>0.90274762465115765</v>
      </c>
    </row>
    <row r="69" spans="1:8" ht="27" customHeight="1" x14ac:dyDescent="0.4">
      <c r="A69" s="171" t="s">
        <v>105</v>
      </c>
      <c r="B69" s="193">
        <f>(D47*B68)/B56*B57</f>
        <v>766.38099999999997</v>
      </c>
      <c r="C69" s="498"/>
      <c r="D69" s="501"/>
      <c r="E69" s="184">
        <v>2</v>
      </c>
      <c r="F69" s="136">
        <v>56505578</v>
      </c>
      <c r="G69" s="271">
        <f>IF(ISBLANK(F69),"-",(F69/$D$50*$D$47*$B$68)*($B$57/$D$68))</f>
        <v>135.55534558198721</v>
      </c>
      <c r="H69" s="185">
        <f t="shared" si="0"/>
        <v>0.90370230387991479</v>
      </c>
    </row>
    <row r="70" spans="1:8" ht="26.25" customHeight="1" x14ac:dyDescent="0.4">
      <c r="A70" s="510" t="s">
        <v>78</v>
      </c>
      <c r="B70" s="511"/>
      <c r="C70" s="498"/>
      <c r="D70" s="501"/>
      <c r="E70" s="184">
        <v>3</v>
      </c>
      <c r="F70" s="136">
        <v>56539407</v>
      </c>
      <c r="G70" s="271">
        <f>IF(ISBLANK(F70),"-",(F70/$D$50*$D$47*$B$68)*($B$57/$D$68))</f>
        <v>135.63650043338421</v>
      </c>
      <c r="H70" s="185">
        <f t="shared" si="0"/>
        <v>0.90424333622256148</v>
      </c>
    </row>
    <row r="71" spans="1:8" ht="27" customHeight="1" x14ac:dyDescent="0.4">
      <c r="A71" s="512"/>
      <c r="B71" s="513"/>
      <c r="C71" s="509"/>
      <c r="D71" s="502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71</v>
      </c>
      <c r="G72" s="277">
        <f>AVERAGE(G60:G71)</f>
        <v>137.21384553126933</v>
      </c>
      <c r="H72" s="198">
        <f>AVERAGE(H60:H71)</f>
        <v>0.91475897020846231</v>
      </c>
    </row>
    <row r="73" spans="1:8" ht="26.25" customHeight="1" x14ac:dyDescent="0.4">
      <c r="C73" s="195"/>
      <c r="D73" s="195"/>
      <c r="E73" s="195"/>
      <c r="F73" s="199" t="s">
        <v>84</v>
      </c>
      <c r="G73" s="273">
        <f>STDEV(G60:G71)/G72</f>
        <v>1.3523539643854719E-2</v>
      </c>
      <c r="H73" s="273">
        <f>STDEV(H60:H71)/H72</f>
        <v>1.3523539643854731E-2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6</v>
      </c>
      <c r="H74" s="202">
        <f>COUNT(H60:H71)</f>
        <v>6</v>
      </c>
    </row>
    <row r="76" spans="1:8" ht="26.25" customHeight="1" x14ac:dyDescent="0.4">
      <c r="A76" s="107" t="s">
        <v>106</v>
      </c>
      <c r="B76" s="203" t="s">
        <v>107</v>
      </c>
      <c r="C76" s="505" t="str">
        <f>B20</f>
        <v>Lamivudine</v>
      </c>
      <c r="D76" s="505"/>
      <c r="E76" s="204" t="s">
        <v>108</v>
      </c>
      <c r="F76" s="204"/>
      <c r="G76" s="205">
        <f>H72</f>
        <v>0.91475897020846231</v>
      </c>
      <c r="H76" s="206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491" t="str">
        <f>B26</f>
        <v>Lamivudine</v>
      </c>
      <c r="C79" s="491"/>
    </row>
    <row r="80" spans="1:8" ht="26.25" customHeight="1" x14ac:dyDescent="0.4">
      <c r="A80" s="108" t="s">
        <v>48</v>
      </c>
      <c r="B80" s="491" t="str">
        <f>B27</f>
        <v>L3-10</v>
      </c>
      <c r="C80" s="491"/>
    </row>
    <row r="81" spans="1:12" ht="27" customHeight="1" x14ac:dyDescent="0.4">
      <c r="A81" s="108" t="s">
        <v>6</v>
      </c>
      <c r="B81" s="207">
        <f>B28</f>
        <v>100</v>
      </c>
    </row>
    <row r="82" spans="1:12" s="14" customFormat="1" ht="27" customHeight="1" x14ac:dyDescent="0.4">
      <c r="A82" s="108" t="s">
        <v>49</v>
      </c>
      <c r="B82" s="110">
        <v>0</v>
      </c>
      <c r="C82" s="482" t="s">
        <v>50</v>
      </c>
      <c r="D82" s="483"/>
      <c r="E82" s="483"/>
      <c r="F82" s="483"/>
      <c r="G82" s="484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100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485" t="s">
        <v>111</v>
      </c>
      <c r="D84" s="486"/>
      <c r="E84" s="486"/>
      <c r="F84" s="486"/>
      <c r="G84" s="486"/>
      <c r="H84" s="487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485" t="s">
        <v>112</v>
      </c>
      <c r="D85" s="486"/>
      <c r="E85" s="486"/>
      <c r="F85" s="486"/>
      <c r="G85" s="486"/>
      <c r="H85" s="487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20</v>
      </c>
      <c r="D89" s="208" t="s">
        <v>59</v>
      </c>
      <c r="E89" s="209"/>
      <c r="F89" s="488" t="s">
        <v>60</v>
      </c>
      <c r="G89" s="490"/>
    </row>
    <row r="90" spans="1:12" ht="27" customHeight="1" x14ac:dyDescent="0.4">
      <c r="A90" s="123" t="s">
        <v>61</v>
      </c>
      <c r="B90" s="124">
        <v>4</v>
      </c>
      <c r="C90" s="210" t="s">
        <v>62</v>
      </c>
      <c r="D90" s="126" t="s">
        <v>63</v>
      </c>
      <c r="E90" s="127" t="s">
        <v>64</v>
      </c>
      <c r="F90" s="126" t="s">
        <v>63</v>
      </c>
      <c r="G90" s="211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20</v>
      </c>
      <c r="C91" s="212">
        <v>1</v>
      </c>
      <c r="D91" s="131">
        <v>60549592</v>
      </c>
      <c r="E91" s="132">
        <f>IF(ISBLANK(D91),"-",$D$101/$D$98*D91)</f>
        <v>69073228.382386491</v>
      </c>
      <c r="F91" s="131">
        <v>63717480</v>
      </c>
      <c r="G91" s="133">
        <f>IF(ISBLANK(F91),"-",$D$101/$F$98*F91)</f>
        <v>68205394.990366086</v>
      </c>
      <c r="I91" s="134"/>
    </row>
    <row r="92" spans="1:12" ht="26.25" customHeight="1" x14ac:dyDescent="0.4">
      <c r="A92" s="123" t="s">
        <v>67</v>
      </c>
      <c r="B92" s="124">
        <v>1</v>
      </c>
      <c r="C92" s="196">
        <v>2</v>
      </c>
      <c r="D92" s="136">
        <v>60422573</v>
      </c>
      <c r="E92" s="137">
        <f>IF(ISBLANK(D92),"-",$D$101/$D$98*D92)</f>
        <v>68928328.770248681</v>
      </c>
      <c r="F92" s="136">
        <v>63626643</v>
      </c>
      <c r="G92" s="138">
        <f>IF(ISBLANK(F92),"-",$D$101/$F$98*F92)</f>
        <v>68108159.922928706</v>
      </c>
      <c r="I92" s="492">
        <f>ABS((F96/D96*D95)-F95)/D95</f>
        <v>1.261530330806032E-2</v>
      </c>
    </row>
    <row r="93" spans="1:12" ht="26.25" customHeight="1" x14ac:dyDescent="0.4">
      <c r="A93" s="123" t="s">
        <v>68</v>
      </c>
      <c r="B93" s="124">
        <v>1</v>
      </c>
      <c r="C93" s="196">
        <v>3</v>
      </c>
      <c r="D93" s="136">
        <v>60617913</v>
      </c>
      <c r="E93" s="137">
        <f>IF(ISBLANK(D93),"-",$D$101/$D$98*D93)</f>
        <v>69151167.00889802</v>
      </c>
      <c r="F93" s="136">
        <v>63887138</v>
      </c>
      <c r="G93" s="138">
        <f>IF(ISBLANK(F93),"-",$D$101/$F$98*F93)</f>
        <v>68387002.783129945</v>
      </c>
      <c r="I93" s="492"/>
    </row>
    <row r="94" spans="1:12" ht="27" customHeight="1" x14ac:dyDescent="0.4">
      <c r="A94" s="123" t="s">
        <v>69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15" t="s">
        <v>71</v>
      </c>
      <c r="D95" s="216">
        <f>AVERAGE(D91:D94)</f>
        <v>60530026</v>
      </c>
      <c r="E95" s="147">
        <f>AVERAGE(E91:E94)</f>
        <v>69050908.053844392</v>
      </c>
      <c r="F95" s="217">
        <f>AVERAGE(F91:F94)</f>
        <v>63743753.666666664</v>
      </c>
      <c r="G95" s="218">
        <f>AVERAGE(G91:G94)</f>
        <v>68233519.232141569</v>
      </c>
    </row>
    <row r="96" spans="1:12" ht="26.25" customHeight="1" x14ac:dyDescent="0.4">
      <c r="A96" s="123" t="s">
        <v>72</v>
      </c>
      <c r="B96" s="109">
        <v>1</v>
      </c>
      <c r="C96" s="219" t="s">
        <v>113</v>
      </c>
      <c r="D96" s="220">
        <v>14.61</v>
      </c>
      <c r="E96" s="139"/>
      <c r="F96" s="151">
        <v>15.57</v>
      </c>
    </row>
    <row r="97" spans="1:10" ht="26.25" customHeight="1" x14ac:dyDescent="0.4">
      <c r="A97" s="123" t="s">
        <v>74</v>
      </c>
      <c r="B97" s="109">
        <v>1</v>
      </c>
      <c r="C97" s="221" t="s">
        <v>114</v>
      </c>
      <c r="D97" s="222">
        <f>D96*$B$87</f>
        <v>14.61</v>
      </c>
      <c r="E97" s="154"/>
      <c r="F97" s="153">
        <f>F96*$B$87</f>
        <v>15.57</v>
      </c>
    </row>
    <row r="98" spans="1:10" ht="19.5" customHeight="1" x14ac:dyDescent="0.3">
      <c r="A98" s="123" t="s">
        <v>76</v>
      </c>
      <c r="B98" s="223">
        <f>(B97/B96)*(B95/B94)*(B93/B92)*(B91/B90)*B89</f>
        <v>100</v>
      </c>
      <c r="C98" s="221" t="s">
        <v>115</v>
      </c>
      <c r="D98" s="224">
        <f>D97*$B$83/100</f>
        <v>14.61</v>
      </c>
      <c r="E98" s="157"/>
      <c r="F98" s="156">
        <f>F97*$B$83/100</f>
        <v>15.57</v>
      </c>
    </row>
    <row r="99" spans="1:10" ht="19.5" customHeight="1" x14ac:dyDescent="0.3">
      <c r="A99" s="493" t="s">
        <v>78</v>
      </c>
      <c r="B99" s="507"/>
      <c r="C99" s="221" t="s">
        <v>116</v>
      </c>
      <c r="D99" s="225">
        <f>D98/$B$98</f>
        <v>0.14610000000000001</v>
      </c>
      <c r="E99" s="157"/>
      <c r="F99" s="160">
        <f>F98/$B$98</f>
        <v>0.15570000000000001</v>
      </c>
      <c r="G99" s="226"/>
      <c r="H99" s="149"/>
    </row>
    <row r="100" spans="1:10" ht="19.5" customHeight="1" x14ac:dyDescent="0.3">
      <c r="A100" s="495"/>
      <c r="B100" s="508"/>
      <c r="C100" s="221" t="s">
        <v>80</v>
      </c>
      <c r="D100" s="227">
        <f>$B$56/$B$116</f>
        <v>0.16666666666666666</v>
      </c>
      <c r="F100" s="165"/>
      <c r="G100" s="228"/>
      <c r="H100" s="149"/>
    </row>
    <row r="101" spans="1:10" ht="18.75" x14ac:dyDescent="0.3">
      <c r="C101" s="221" t="s">
        <v>81</v>
      </c>
      <c r="D101" s="222">
        <f>D100*$B$98</f>
        <v>16.666666666666664</v>
      </c>
      <c r="F101" s="165"/>
      <c r="G101" s="226"/>
      <c r="H101" s="149"/>
    </row>
    <row r="102" spans="1:10" ht="19.5" customHeight="1" x14ac:dyDescent="0.3">
      <c r="C102" s="229" t="s">
        <v>82</v>
      </c>
      <c r="D102" s="230">
        <f>D101/B34</f>
        <v>16.666666666666664</v>
      </c>
      <c r="F102" s="169"/>
      <c r="G102" s="226"/>
      <c r="H102" s="149"/>
      <c r="J102" s="231"/>
    </row>
    <row r="103" spans="1:10" ht="18.75" x14ac:dyDescent="0.3">
      <c r="C103" s="232" t="s">
        <v>117</v>
      </c>
      <c r="D103" s="233">
        <f>AVERAGE(E91:E94,G91:G94)</f>
        <v>68642213.642992988</v>
      </c>
      <c r="F103" s="169"/>
      <c r="G103" s="234"/>
      <c r="H103" s="149"/>
      <c r="J103" s="235"/>
    </row>
    <row r="104" spans="1:10" ht="18.75" x14ac:dyDescent="0.3">
      <c r="C104" s="199" t="s">
        <v>84</v>
      </c>
      <c r="D104" s="236">
        <f>STDEV(E91:E94,G91:G94)/D103</f>
        <v>6.7324615267853475E-3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118</v>
      </c>
      <c r="B107" s="122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3" t="s">
        <v>122</v>
      </c>
      <c r="B108" s="124">
        <v>1</v>
      </c>
      <c r="C108" s="242">
        <v>1</v>
      </c>
      <c r="D108" s="243">
        <v>69105203</v>
      </c>
      <c r="E108" s="274">
        <f t="shared" ref="E108:E113" si="1">IF(ISBLANK(D108),"-",D108/$D$103*$D$100*$B$116)</f>
        <v>151.01174481219752</v>
      </c>
      <c r="F108" s="244">
        <f t="shared" ref="F108:F113" si="2">IF(ISBLANK(D108), "-", E108/$B$56)</f>
        <v>1.0067449654146501</v>
      </c>
    </row>
    <row r="109" spans="1:10" ht="26.25" customHeight="1" x14ac:dyDescent="0.4">
      <c r="A109" s="123" t="s">
        <v>95</v>
      </c>
      <c r="B109" s="124">
        <v>1</v>
      </c>
      <c r="C109" s="242">
        <v>2</v>
      </c>
      <c r="D109" s="243">
        <v>68498545</v>
      </c>
      <c r="E109" s="275">
        <f t="shared" si="1"/>
        <v>149.6860489295839</v>
      </c>
      <c r="F109" s="245">
        <f t="shared" si="2"/>
        <v>0.99790699286389273</v>
      </c>
    </row>
    <row r="110" spans="1:10" ht="26.25" customHeight="1" x14ac:dyDescent="0.4">
      <c r="A110" s="123" t="s">
        <v>96</v>
      </c>
      <c r="B110" s="124">
        <v>1</v>
      </c>
      <c r="C110" s="242">
        <v>3</v>
      </c>
      <c r="D110" s="243">
        <v>69453041</v>
      </c>
      <c r="E110" s="275">
        <f t="shared" si="1"/>
        <v>151.77185578809591</v>
      </c>
      <c r="F110" s="245">
        <f t="shared" si="2"/>
        <v>1.0118123719206393</v>
      </c>
    </row>
    <row r="111" spans="1:10" ht="26.25" customHeight="1" x14ac:dyDescent="0.4">
      <c r="A111" s="123" t="s">
        <v>97</v>
      </c>
      <c r="B111" s="124">
        <v>1</v>
      </c>
      <c r="C111" s="242">
        <v>4</v>
      </c>
      <c r="D111" s="243">
        <v>68933189</v>
      </c>
      <c r="E111" s="275">
        <f t="shared" si="1"/>
        <v>150.63585221447045</v>
      </c>
      <c r="F111" s="245">
        <f t="shared" si="2"/>
        <v>1.0042390147631364</v>
      </c>
    </row>
    <row r="112" spans="1:10" ht="26.25" customHeight="1" x14ac:dyDescent="0.4">
      <c r="A112" s="123" t="s">
        <v>98</v>
      </c>
      <c r="B112" s="124">
        <v>1</v>
      </c>
      <c r="C112" s="242">
        <v>5</v>
      </c>
      <c r="D112" s="243">
        <v>68997381</v>
      </c>
      <c r="E112" s="275">
        <f t="shared" si="1"/>
        <v>150.77612741086895</v>
      </c>
      <c r="F112" s="245">
        <f t="shared" si="2"/>
        <v>1.0051741827391263</v>
      </c>
    </row>
    <row r="113" spans="1:10" ht="26.25" customHeight="1" x14ac:dyDescent="0.4">
      <c r="A113" s="123" t="s">
        <v>100</v>
      </c>
      <c r="B113" s="124">
        <v>1</v>
      </c>
      <c r="C113" s="246">
        <v>6</v>
      </c>
      <c r="D113" s="247">
        <v>69673733</v>
      </c>
      <c r="E113" s="276">
        <f t="shared" si="1"/>
        <v>152.25412170353056</v>
      </c>
      <c r="F113" s="248">
        <f t="shared" si="2"/>
        <v>1.0150274780235371</v>
      </c>
    </row>
    <row r="114" spans="1:10" ht="26.25" customHeight="1" x14ac:dyDescent="0.4">
      <c r="A114" s="123" t="s">
        <v>101</v>
      </c>
      <c r="B114" s="124">
        <v>1</v>
      </c>
      <c r="C114" s="242"/>
      <c r="D114" s="196"/>
      <c r="E114" s="97"/>
      <c r="F114" s="249"/>
    </row>
    <row r="115" spans="1:10" ht="26.25" customHeight="1" x14ac:dyDescent="0.4">
      <c r="A115" s="123" t="s">
        <v>102</v>
      </c>
      <c r="B115" s="124">
        <v>1</v>
      </c>
      <c r="C115" s="242"/>
      <c r="D115" s="250" t="s">
        <v>71</v>
      </c>
      <c r="E115" s="278">
        <f>AVERAGE(E108:E113)</f>
        <v>151.02262514312454</v>
      </c>
      <c r="F115" s="251">
        <f>AVERAGE(F108:F113)</f>
        <v>1.0068175009541636</v>
      </c>
    </row>
    <row r="116" spans="1:10" ht="27" customHeight="1" x14ac:dyDescent="0.4">
      <c r="A116" s="123" t="s">
        <v>103</v>
      </c>
      <c r="B116" s="155">
        <f>(B115/B114)*(B113/B112)*(B111/B110)*(B109/B108)*B107</f>
        <v>900</v>
      </c>
      <c r="C116" s="252"/>
      <c r="D116" s="215" t="s">
        <v>84</v>
      </c>
      <c r="E116" s="253">
        <f>STDEV(E108:E113)/E115</f>
        <v>5.9776188042004932E-3</v>
      </c>
      <c r="F116" s="253">
        <f>STDEV(F108:F113)/F115</f>
        <v>5.9776188042004897E-3</v>
      </c>
      <c r="I116" s="97"/>
    </row>
    <row r="117" spans="1:10" ht="27" customHeight="1" x14ac:dyDescent="0.4">
      <c r="A117" s="493" t="s">
        <v>78</v>
      </c>
      <c r="B117" s="494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7"/>
      <c r="J117" s="235"/>
    </row>
    <row r="118" spans="1:10" ht="19.5" customHeight="1" x14ac:dyDescent="0.3">
      <c r="A118" s="495"/>
      <c r="B118" s="496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5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106</v>
      </c>
      <c r="B120" s="203" t="s">
        <v>123</v>
      </c>
      <c r="C120" s="505" t="str">
        <f>B20</f>
        <v>Lamivudine</v>
      </c>
      <c r="D120" s="505"/>
      <c r="E120" s="204" t="s">
        <v>124</v>
      </c>
      <c r="F120" s="204"/>
      <c r="G120" s="205">
        <f>F115</f>
        <v>1.0068175009541636</v>
      </c>
      <c r="H120" s="97"/>
      <c r="I120" s="97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506" t="s">
        <v>26</v>
      </c>
      <c r="C122" s="506"/>
      <c r="E122" s="210" t="s">
        <v>27</v>
      </c>
      <c r="F122" s="259"/>
      <c r="G122" s="506" t="s">
        <v>28</v>
      </c>
      <c r="H122" s="506"/>
    </row>
    <row r="123" spans="1:10" ht="69.95" customHeight="1" x14ac:dyDescent="0.3">
      <c r="A123" s="260" t="s">
        <v>29</v>
      </c>
      <c r="B123" s="261"/>
      <c r="C123" s="261"/>
      <c r="E123" s="261"/>
      <c r="F123" s="97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7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9.1145833333333329E-2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5" zoomScale="60" zoomScaleNormal="40" zoomScalePageLayoutView="60" workbookViewId="0">
      <selection activeCell="D117" sqref="D11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3" t="s">
        <v>45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46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x14ac:dyDescent="0.3">
      <c r="A15" s="280"/>
    </row>
    <row r="16" spans="1:9" ht="19.5" customHeight="1" x14ac:dyDescent="0.3">
      <c r="A16" s="476" t="s">
        <v>31</v>
      </c>
      <c r="B16" s="477"/>
      <c r="C16" s="477"/>
      <c r="D16" s="477"/>
      <c r="E16" s="477"/>
      <c r="F16" s="477"/>
      <c r="G16" s="477"/>
      <c r="H16" s="478"/>
    </row>
    <row r="17" spans="1:14" ht="20.25" customHeight="1" x14ac:dyDescent="0.25">
      <c r="A17" s="479" t="s">
        <v>47</v>
      </c>
      <c r="B17" s="479"/>
      <c r="C17" s="479"/>
      <c r="D17" s="479"/>
      <c r="E17" s="479"/>
      <c r="F17" s="479"/>
      <c r="G17" s="479"/>
      <c r="H17" s="479"/>
    </row>
    <row r="18" spans="1:14" ht="26.25" customHeight="1" x14ac:dyDescent="0.4">
      <c r="A18" s="282" t="s">
        <v>33</v>
      </c>
      <c r="B18" s="475" t="s">
        <v>5</v>
      </c>
      <c r="C18" s="475"/>
      <c r="D18" s="449"/>
      <c r="E18" s="283"/>
      <c r="F18" s="284"/>
      <c r="G18" s="284"/>
      <c r="H18" s="284"/>
    </row>
    <row r="19" spans="1:14" ht="26.25" customHeight="1" x14ac:dyDescent="0.4">
      <c r="A19" s="282" t="s">
        <v>34</v>
      </c>
      <c r="B19" s="285" t="s">
        <v>7</v>
      </c>
      <c r="C19" s="462">
        <v>29</v>
      </c>
      <c r="D19" s="284"/>
      <c r="E19" s="284"/>
      <c r="F19" s="284"/>
      <c r="G19" s="284"/>
      <c r="H19" s="284"/>
    </row>
    <row r="20" spans="1:14" ht="26.25" customHeight="1" x14ac:dyDescent="0.4">
      <c r="A20" s="282" t="s">
        <v>35</v>
      </c>
      <c r="B20" s="480" t="s">
        <v>127</v>
      </c>
      <c r="C20" s="480"/>
      <c r="D20" s="284"/>
      <c r="E20" s="284"/>
      <c r="F20" s="284"/>
      <c r="G20" s="284"/>
      <c r="H20" s="284"/>
    </row>
    <row r="21" spans="1:14" ht="26.25" customHeight="1" x14ac:dyDescent="0.4">
      <c r="A21" s="282" t="s">
        <v>36</v>
      </c>
      <c r="B21" s="480" t="s">
        <v>11</v>
      </c>
      <c r="C21" s="480"/>
      <c r="D21" s="480"/>
      <c r="E21" s="480"/>
      <c r="F21" s="480"/>
      <c r="G21" s="480"/>
      <c r="H21" s="480"/>
      <c r="I21" s="286"/>
    </row>
    <row r="22" spans="1:14" ht="26.25" customHeight="1" x14ac:dyDescent="0.4">
      <c r="A22" s="282" t="s">
        <v>37</v>
      </c>
      <c r="B22" s="287">
        <v>42608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38</v>
      </c>
      <c r="B23" s="287">
        <v>42609</v>
      </c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475" t="s">
        <v>127</v>
      </c>
      <c r="C26" s="475"/>
    </row>
    <row r="27" spans="1:14" ht="26.25" customHeight="1" x14ac:dyDescent="0.4">
      <c r="A27" s="291" t="s">
        <v>48</v>
      </c>
      <c r="B27" s="481" t="s">
        <v>128</v>
      </c>
      <c r="C27" s="481"/>
    </row>
    <row r="28" spans="1:14" ht="27" customHeight="1" x14ac:dyDescent="0.4">
      <c r="A28" s="291" t="s">
        <v>6</v>
      </c>
      <c r="B28" s="292">
        <v>99.4</v>
      </c>
    </row>
    <row r="29" spans="1:14" s="14" customFormat="1" ht="27" customHeight="1" x14ac:dyDescent="0.4">
      <c r="A29" s="291" t="s">
        <v>49</v>
      </c>
      <c r="B29" s="293">
        <v>0</v>
      </c>
      <c r="C29" s="482" t="s">
        <v>50</v>
      </c>
      <c r="D29" s="483"/>
      <c r="E29" s="483"/>
      <c r="F29" s="483"/>
      <c r="G29" s="484"/>
      <c r="I29" s="294"/>
      <c r="J29" s="294"/>
      <c r="K29" s="294"/>
      <c r="L29" s="294"/>
    </row>
    <row r="30" spans="1:14" s="14" customFormat="1" ht="19.5" customHeight="1" x14ac:dyDescent="0.3">
      <c r="A30" s="291" t="s">
        <v>51</v>
      </c>
      <c r="B30" s="295">
        <f>B28-B29</f>
        <v>99.4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52</v>
      </c>
      <c r="B31" s="298">
        <v>1</v>
      </c>
      <c r="C31" s="485" t="s">
        <v>53</v>
      </c>
      <c r="D31" s="486"/>
      <c r="E31" s="486"/>
      <c r="F31" s="486"/>
      <c r="G31" s="486"/>
      <c r="H31" s="487"/>
      <c r="I31" s="294"/>
      <c r="J31" s="294"/>
      <c r="K31" s="294"/>
      <c r="L31" s="294"/>
    </row>
    <row r="32" spans="1:14" s="14" customFormat="1" ht="27" customHeight="1" x14ac:dyDescent="0.4">
      <c r="A32" s="291" t="s">
        <v>54</v>
      </c>
      <c r="B32" s="298">
        <v>1</v>
      </c>
      <c r="C32" s="485" t="s">
        <v>55</v>
      </c>
      <c r="D32" s="486"/>
      <c r="E32" s="486"/>
      <c r="F32" s="486"/>
      <c r="G32" s="486"/>
      <c r="H32" s="487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56</v>
      </c>
      <c r="B34" s="303">
        <f>B31/B32</f>
        <v>1</v>
      </c>
      <c r="C34" s="281" t="s">
        <v>57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58</v>
      </c>
      <c r="B36" s="305">
        <v>100</v>
      </c>
      <c r="C36" s="281"/>
      <c r="D36" s="488" t="s">
        <v>59</v>
      </c>
      <c r="E36" s="489"/>
      <c r="F36" s="488" t="s">
        <v>60</v>
      </c>
      <c r="G36" s="490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61</v>
      </c>
      <c r="B37" s="307">
        <v>1</v>
      </c>
      <c r="C37" s="308" t="s">
        <v>62</v>
      </c>
      <c r="D37" s="309" t="s">
        <v>63</v>
      </c>
      <c r="E37" s="310" t="s">
        <v>64</v>
      </c>
      <c r="F37" s="309" t="s">
        <v>63</v>
      </c>
      <c r="G37" s="311" t="s">
        <v>64</v>
      </c>
      <c r="I37" s="312" t="s">
        <v>65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66</v>
      </c>
      <c r="B38" s="307">
        <v>1</v>
      </c>
      <c r="C38" s="313">
        <v>1</v>
      </c>
      <c r="D38" s="314">
        <v>105308346</v>
      </c>
      <c r="E38" s="315">
        <f>IF(ISBLANK(D38),"-",$D$48/$D$45*D38)</f>
        <v>109786538.92265511</v>
      </c>
      <c r="F38" s="314">
        <v>110439745</v>
      </c>
      <c r="G38" s="316">
        <f>IF(ISBLANK(F38),"-",$D$48/$F$45*F38)</f>
        <v>110151734.93040197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67</v>
      </c>
      <c r="B39" s="307">
        <v>1</v>
      </c>
      <c r="C39" s="318">
        <v>2</v>
      </c>
      <c r="D39" s="319">
        <v>105788094</v>
      </c>
      <c r="E39" s="320">
        <f>IF(ISBLANK(D39),"-",$D$48/$D$45*D39)</f>
        <v>110286688.00366969</v>
      </c>
      <c r="F39" s="319">
        <v>110974713</v>
      </c>
      <c r="G39" s="321">
        <f>IF(ISBLANK(F39),"-",$D$48/$F$45*F39)</f>
        <v>110685307.81516594</v>
      </c>
      <c r="I39" s="492">
        <f>ABS((F43/D43*D42)-F42)/D42</f>
        <v>2.3366121001201228E-3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68</v>
      </c>
      <c r="B40" s="307">
        <v>1</v>
      </c>
      <c r="C40" s="318">
        <v>3</v>
      </c>
      <c r="D40" s="319">
        <v>105185047</v>
      </c>
      <c r="E40" s="320">
        <f>IF(ISBLANK(D40),"-",$D$48/$D$45*D40)</f>
        <v>109657996.68477185</v>
      </c>
      <c r="F40" s="319">
        <v>109917930</v>
      </c>
      <c r="G40" s="321">
        <f>IF(ISBLANK(F40),"-",$D$48/$F$45*F40)</f>
        <v>109631280.74461307</v>
      </c>
      <c r="I40" s="492"/>
      <c r="L40" s="299"/>
      <c r="M40" s="299"/>
      <c r="N40" s="322"/>
    </row>
    <row r="41" spans="1:14" ht="27" customHeight="1" x14ac:dyDescent="0.4">
      <c r="A41" s="306" t="s">
        <v>69</v>
      </c>
      <c r="B41" s="307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299"/>
      <c r="M41" s="299"/>
      <c r="N41" s="322"/>
    </row>
    <row r="42" spans="1:14" ht="27" customHeight="1" x14ac:dyDescent="0.4">
      <c r="A42" s="306" t="s">
        <v>70</v>
      </c>
      <c r="B42" s="307">
        <v>1</v>
      </c>
      <c r="C42" s="328" t="s">
        <v>71</v>
      </c>
      <c r="D42" s="329">
        <f>AVERAGE(D38:D41)</f>
        <v>105427162.33333333</v>
      </c>
      <c r="E42" s="330">
        <f>AVERAGE(E38:E41)</f>
        <v>109910407.87036555</v>
      </c>
      <c r="F42" s="329">
        <f>AVERAGE(F38:F41)</f>
        <v>110444129.33333333</v>
      </c>
      <c r="G42" s="331">
        <f>AVERAGE(G38:G41)</f>
        <v>110156107.83006032</v>
      </c>
      <c r="H42" s="332"/>
    </row>
    <row r="43" spans="1:14" ht="26.25" customHeight="1" x14ac:dyDescent="0.4">
      <c r="A43" s="306" t="s">
        <v>72</v>
      </c>
      <c r="B43" s="307">
        <v>1</v>
      </c>
      <c r="C43" s="333" t="s">
        <v>73</v>
      </c>
      <c r="D43" s="334">
        <v>28.95</v>
      </c>
      <c r="E43" s="322"/>
      <c r="F43" s="334">
        <v>30.26</v>
      </c>
      <c r="H43" s="332"/>
    </row>
    <row r="44" spans="1:14" ht="26.25" customHeight="1" x14ac:dyDescent="0.4">
      <c r="A44" s="306" t="s">
        <v>74</v>
      </c>
      <c r="B44" s="307">
        <v>1</v>
      </c>
      <c r="C44" s="335" t="s">
        <v>75</v>
      </c>
      <c r="D44" s="336">
        <f>D43*$B$34</f>
        <v>28.95</v>
      </c>
      <c r="E44" s="337"/>
      <c r="F44" s="336">
        <f>F43*$B$34</f>
        <v>30.26</v>
      </c>
      <c r="H44" s="332"/>
    </row>
    <row r="45" spans="1:14" ht="19.5" customHeight="1" x14ac:dyDescent="0.3">
      <c r="A45" s="306" t="s">
        <v>76</v>
      </c>
      <c r="B45" s="338">
        <f>(B44/B43)*(B42/B41)*(B40/B39)*(B38/B37)*B36</f>
        <v>100</v>
      </c>
      <c r="C45" s="335" t="s">
        <v>77</v>
      </c>
      <c r="D45" s="339">
        <f>D44*$B$30/100</f>
        <v>28.776300000000003</v>
      </c>
      <c r="E45" s="340"/>
      <c r="F45" s="339">
        <f>F44*$B$30/100</f>
        <v>30.078440000000004</v>
      </c>
      <c r="H45" s="332"/>
    </row>
    <row r="46" spans="1:14" ht="19.5" customHeight="1" x14ac:dyDescent="0.3">
      <c r="A46" s="493" t="s">
        <v>78</v>
      </c>
      <c r="B46" s="494"/>
      <c r="C46" s="335" t="s">
        <v>79</v>
      </c>
      <c r="D46" s="341">
        <f>D45/$B$45</f>
        <v>0.28776300000000005</v>
      </c>
      <c r="E46" s="342"/>
      <c r="F46" s="343">
        <f>F45/$B$45</f>
        <v>0.30078440000000006</v>
      </c>
      <c r="H46" s="332"/>
    </row>
    <row r="47" spans="1:14" ht="27" customHeight="1" x14ac:dyDescent="0.4">
      <c r="A47" s="495"/>
      <c r="B47" s="496"/>
      <c r="C47" s="344" t="s">
        <v>80</v>
      </c>
      <c r="D47" s="345">
        <v>0.3</v>
      </c>
      <c r="E47" s="346"/>
      <c r="F47" s="342"/>
      <c r="H47" s="332"/>
    </row>
    <row r="48" spans="1:14" ht="18.75" x14ac:dyDescent="0.3">
      <c r="C48" s="347" t="s">
        <v>81</v>
      </c>
      <c r="D48" s="339">
        <f>D47*$B$45</f>
        <v>30</v>
      </c>
      <c r="F48" s="348"/>
      <c r="H48" s="332"/>
    </row>
    <row r="49" spans="1:12" ht="19.5" customHeight="1" x14ac:dyDescent="0.3">
      <c r="C49" s="349" t="s">
        <v>82</v>
      </c>
      <c r="D49" s="350">
        <f>D48/B34</f>
        <v>30</v>
      </c>
      <c r="F49" s="348"/>
      <c r="H49" s="332"/>
    </row>
    <row r="50" spans="1:12" ht="18.75" x14ac:dyDescent="0.3">
      <c r="C50" s="304" t="s">
        <v>83</v>
      </c>
      <c r="D50" s="351">
        <f>AVERAGE(E38:E41,G38:G41)</f>
        <v>110033257.85021293</v>
      </c>
      <c r="F50" s="352"/>
      <c r="H50" s="332"/>
    </row>
    <row r="51" spans="1:12" ht="18.75" x14ac:dyDescent="0.3">
      <c r="C51" s="306" t="s">
        <v>84</v>
      </c>
      <c r="D51" s="353">
        <f>STDEV(E38:E41,G38:G41)/D50</f>
        <v>3.7837969724293526E-3</v>
      </c>
      <c r="F51" s="352"/>
      <c r="H51" s="332"/>
    </row>
    <row r="52" spans="1:12" ht="19.5" customHeight="1" x14ac:dyDescent="0.3">
      <c r="C52" s="354" t="s">
        <v>20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85</v>
      </c>
    </row>
    <row r="55" spans="1:12" ht="18.75" x14ac:dyDescent="0.3">
      <c r="A55" s="281" t="s">
        <v>86</v>
      </c>
      <c r="B55" s="358" t="str">
        <f>B21</f>
        <v>Each film coated tablet contains Zidovudine 300 mg. Lamivudine 150 mg</v>
      </c>
    </row>
    <row r="56" spans="1:12" ht="26.25" customHeight="1" x14ac:dyDescent="0.4">
      <c r="A56" s="359" t="s">
        <v>87</v>
      </c>
      <c r="B56" s="360">
        <v>300</v>
      </c>
      <c r="C56" s="281" t="str">
        <f>B20</f>
        <v>Zidovudine</v>
      </c>
      <c r="H56" s="361"/>
    </row>
    <row r="57" spans="1:12" ht="18.75" x14ac:dyDescent="0.3">
      <c r="A57" s="358" t="s">
        <v>88</v>
      </c>
      <c r="B57" s="450">
        <f>Uniformity!C46</f>
        <v>766.38099999999997</v>
      </c>
      <c r="H57" s="361"/>
    </row>
    <row r="58" spans="1:12" ht="19.5" customHeight="1" x14ac:dyDescent="0.3">
      <c r="H58" s="361"/>
    </row>
    <row r="59" spans="1:12" s="14" customFormat="1" ht="27" customHeight="1" x14ac:dyDescent="0.4">
      <c r="A59" s="304" t="s">
        <v>89</v>
      </c>
      <c r="B59" s="305">
        <v>100</v>
      </c>
      <c r="C59" s="281"/>
      <c r="D59" s="362" t="s">
        <v>90</v>
      </c>
      <c r="E59" s="363" t="s">
        <v>62</v>
      </c>
      <c r="F59" s="363" t="s">
        <v>63</v>
      </c>
      <c r="G59" s="363" t="s">
        <v>91</v>
      </c>
      <c r="H59" s="308" t="s">
        <v>92</v>
      </c>
      <c r="L59" s="294"/>
    </row>
    <row r="60" spans="1:12" s="14" customFormat="1" ht="26.25" customHeight="1" x14ac:dyDescent="0.4">
      <c r="A60" s="306" t="s">
        <v>93</v>
      </c>
      <c r="B60" s="307">
        <v>10</v>
      </c>
      <c r="C60" s="497" t="s">
        <v>94</v>
      </c>
      <c r="D60" s="500">
        <v>764.58</v>
      </c>
      <c r="E60" s="364">
        <v>1</v>
      </c>
      <c r="F60" s="365">
        <v>103339207</v>
      </c>
      <c r="G60" s="451">
        <f>IF(ISBLANK(F60),"-",(F60/$D$50*$D$47*$B$68)*($B$57/$D$60))</f>
        <v>282.41268728716909</v>
      </c>
      <c r="H60" s="366">
        <f t="shared" ref="H60:H71" si="0">IF(ISBLANK(F60),"-",G60/$B$56)</f>
        <v>0.94137562429056365</v>
      </c>
      <c r="L60" s="294"/>
    </row>
    <row r="61" spans="1:12" s="14" customFormat="1" ht="26.25" customHeight="1" x14ac:dyDescent="0.4">
      <c r="A61" s="306" t="s">
        <v>95</v>
      </c>
      <c r="B61" s="307">
        <v>100</v>
      </c>
      <c r="C61" s="498"/>
      <c r="D61" s="501"/>
      <c r="E61" s="367">
        <v>2</v>
      </c>
      <c r="F61" s="319">
        <v>102375042</v>
      </c>
      <c r="G61" s="452">
        <f>IF(ISBLANK(F61),"-",(F61/$D$50*$D$47*$B$68)*($B$57/$D$60))</f>
        <v>279.77774904307904</v>
      </c>
      <c r="H61" s="368">
        <f t="shared" si="0"/>
        <v>0.93259249681026346</v>
      </c>
      <c r="L61" s="294"/>
    </row>
    <row r="62" spans="1:12" s="14" customFormat="1" ht="26.25" customHeight="1" x14ac:dyDescent="0.4">
      <c r="A62" s="306" t="s">
        <v>96</v>
      </c>
      <c r="B62" s="307">
        <v>1</v>
      </c>
      <c r="C62" s="498"/>
      <c r="D62" s="501"/>
      <c r="E62" s="367">
        <v>3</v>
      </c>
      <c r="F62" s="369">
        <v>102438705</v>
      </c>
      <c r="G62" s="452">
        <f>IF(ISBLANK(F62),"-",(F62/$D$50*$D$47*$B$68)*($B$57/$D$60))</f>
        <v>279.95173178818339</v>
      </c>
      <c r="H62" s="368">
        <f t="shared" si="0"/>
        <v>0.93317243929394467</v>
      </c>
      <c r="L62" s="294"/>
    </row>
    <row r="63" spans="1:12" ht="27" customHeight="1" x14ac:dyDescent="0.4">
      <c r="A63" s="306" t="s">
        <v>97</v>
      </c>
      <c r="B63" s="307">
        <v>1</v>
      </c>
      <c r="C63" s="499"/>
      <c r="D63" s="502"/>
      <c r="E63" s="370">
        <v>4</v>
      </c>
      <c r="F63" s="371"/>
      <c r="G63" s="452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6" t="s">
        <v>98</v>
      </c>
      <c r="B64" s="307">
        <v>1</v>
      </c>
      <c r="C64" s="497" t="s">
        <v>99</v>
      </c>
      <c r="D64" s="500">
        <v>766.35</v>
      </c>
      <c r="E64" s="364">
        <v>1</v>
      </c>
      <c r="F64" s="365"/>
      <c r="G64" s="453" t="str">
        <f>IF(ISBLANK(F64),"-",(F64/$D$50*$D$47*$B$68)*($B$57/$D$64))</f>
        <v>-</v>
      </c>
      <c r="H64" s="372" t="str">
        <f t="shared" si="0"/>
        <v>-</v>
      </c>
    </row>
    <row r="65" spans="1:8" ht="26.25" customHeight="1" x14ac:dyDescent="0.4">
      <c r="A65" s="306" t="s">
        <v>100</v>
      </c>
      <c r="B65" s="307">
        <v>1</v>
      </c>
      <c r="C65" s="498"/>
      <c r="D65" s="501"/>
      <c r="E65" s="367">
        <v>2</v>
      </c>
      <c r="F65" s="319"/>
      <c r="G65" s="454" t="str">
        <f>IF(ISBLANK(F65),"-",(F65/$D$50*$D$47*$B$68)*($B$57/$D$64))</f>
        <v>-</v>
      </c>
      <c r="H65" s="373" t="str">
        <f t="shared" si="0"/>
        <v>-</v>
      </c>
    </row>
    <row r="66" spans="1:8" ht="26.25" customHeight="1" x14ac:dyDescent="0.4">
      <c r="A66" s="306" t="s">
        <v>101</v>
      </c>
      <c r="B66" s="307">
        <v>1</v>
      </c>
      <c r="C66" s="498"/>
      <c r="D66" s="501"/>
      <c r="E66" s="367">
        <v>3</v>
      </c>
      <c r="F66" s="319"/>
      <c r="G66" s="454" t="str">
        <f>IF(ISBLANK(F66),"-",(F66/$D$50*$D$47*$B$68)*($B$57/$D$64))</f>
        <v>-</v>
      </c>
      <c r="H66" s="373" t="str">
        <f t="shared" si="0"/>
        <v>-</v>
      </c>
    </row>
    <row r="67" spans="1:8" ht="27" customHeight="1" x14ac:dyDescent="0.4">
      <c r="A67" s="306" t="s">
        <v>102</v>
      </c>
      <c r="B67" s="307">
        <v>1</v>
      </c>
      <c r="C67" s="499"/>
      <c r="D67" s="502"/>
      <c r="E67" s="370">
        <v>4</v>
      </c>
      <c r="F67" s="371"/>
      <c r="G67" s="455" t="str">
        <f>IF(ISBLANK(F67),"-",(F67/$D$50*$D$47*$B$68)*($B$57/$D$64))</f>
        <v>-</v>
      </c>
      <c r="H67" s="374" t="str">
        <f t="shared" si="0"/>
        <v>-</v>
      </c>
    </row>
    <row r="68" spans="1:8" ht="26.25" customHeight="1" x14ac:dyDescent="0.4">
      <c r="A68" s="306" t="s">
        <v>103</v>
      </c>
      <c r="B68" s="375">
        <f>(B67/B66)*(B65/B64)*(B63/B62)*(B61/B60)*B59</f>
        <v>1000</v>
      </c>
      <c r="C68" s="497" t="s">
        <v>104</v>
      </c>
      <c r="D68" s="500">
        <v>768.55</v>
      </c>
      <c r="E68" s="364">
        <v>1</v>
      </c>
      <c r="F68" s="365">
        <v>102558625</v>
      </c>
      <c r="G68" s="453">
        <f>IF(ISBLANK(F68),"-",(F68/$D$50*$D$47*$B$68)*($B$57/$D$68))</f>
        <v>278.83165405120639</v>
      </c>
      <c r="H68" s="368">
        <f t="shared" si="0"/>
        <v>0.92943884683735467</v>
      </c>
    </row>
    <row r="69" spans="1:8" ht="27" customHeight="1" x14ac:dyDescent="0.4">
      <c r="A69" s="354" t="s">
        <v>105</v>
      </c>
      <c r="B69" s="376">
        <f>(D47*B68)/B56*B57</f>
        <v>766.38099999999997</v>
      </c>
      <c r="C69" s="498"/>
      <c r="D69" s="501"/>
      <c r="E69" s="367">
        <v>2</v>
      </c>
      <c r="F69" s="319">
        <v>102649150</v>
      </c>
      <c r="G69" s="454">
        <f>IF(ISBLANK(F69),"-",(F69/$D$50*$D$47*$B$68)*($B$57/$D$68))</f>
        <v>279.07776924125483</v>
      </c>
      <c r="H69" s="368">
        <f t="shared" si="0"/>
        <v>0.93025923080418271</v>
      </c>
    </row>
    <row r="70" spans="1:8" ht="26.25" customHeight="1" x14ac:dyDescent="0.4">
      <c r="A70" s="510" t="s">
        <v>78</v>
      </c>
      <c r="B70" s="511"/>
      <c r="C70" s="498"/>
      <c r="D70" s="501"/>
      <c r="E70" s="367">
        <v>3</v>
      </c>
      <c r="F70" s="319">
        <v>102705083</v>
      </c>
      <c r="G70" s="454">
        <f>IF(ISBLANK(F70),"-",(F70/$D$50*$D$47*$B$68)*($B$57/$D$68))</f>
        <v>279.22983729897351</v>
      </c>
      <c r="H70" s="368">
        <f t="shared" si="0"/>
        <v>0.93076612432991168</v>
      </c>
    </row>
    <row r="71" spans="1:8" ht="27" customHeight="1" x14ac:dyDescent="0.4">
      <c r="A71" s="512"/>
      <c r="B71" s="513"/>
      <c r="C71" s="509"/>
      <c r="D71" s="502"/>
      <c r="E71" s="370">
        <v>4</v>
      </c>
      <c r="F71" s="371"/>
      <c r="G71" s="455" t="str">
        <f>IF(ISBLANK(F71),"-",(F71/$D$50*$D$47*$B$68)*($B$57/$D$68))</f>
        <v>-</v>
      </c>
      <c r="H71" s="377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60">
        <f>AVERAGE(G60:G71)</f>
        <v>279.88023811831107</v>
      </c>
      <c r="H72" s="381">
        <f>AVERAGE(H60:H71)</f>
        <v>0.93293412706103684</v>
      </c>
    </row>
    <row r="73" spans="1:8" ht="26.25" customHeight="1" x14ac:dyDescent="0.4">
      <c r="C73" s="378"/>
      <c r="D73" s="378"/>
      <c r="E73" s="378"/>
      <c r="F73" s="382" t="s">
        <v>84</v>
      </c>
      <c r="G73" s="456">
        <f>STDEV(G60:G71)/G72</f>
        <v>4.684641052554196E-3</v>
      </c>
      <c r="H73" s="456">
        <f>STDEV(H60:H71)/H72</f>
        <v>4.6846410525541986E-3</v>
      </c>
    </row>
    <row r="74" spans="1:8" ht="27" customHeight="1" x14ac:dyDescent="0.4">
      <c r="A74" s="378"/>
      <c r="B74" s="378"/>
      <c r="C74" s="379"/>
      <c r="D74" s="379"/>
      <c r="E74" s="383"/>
      <c r="F74" s="384" t="s">
        <v>20</v>
      </c>
      <c r="G74" s="385">
        <f>COUNT(G60:G71)</f>
        <v>6</v>
      </c>
      <c r="H74" s="385">
        <f>COUNT(H60:H71)</f>
        <v>6</v>
      </c>
    </row>
    <row r="76" spans="1:8" ht="26.25" customHeight="1" x14ac:dyDescent="0.4">
      <c r="A76" s="290" t="s">
        <v>106</v>
      </c>
      <c r="B76" s="386" t="s">
        <v>107</v>
      </c>
      <c r="C76" s="505" t="str">
        <f>B20</f>
        <v>Zidovudine</v>
      </c>
      <c r="D76" s="505"/>
      <c r="E76" s="387" t="s">
        <v>108</v>
      </c>
      <c r="F76" s="387"/>
      <c r="G76" s="388">
        <f>H72</f>
        <v>0.93293412706103684</v>
      </c>
      <c r="H76" s="389"/>
    </row>
    <row r="77" spans="1:8" ht="18.75" x14ac:dyDescent="0.3">
      <c r="A77" s="289" t="s">
        <v>109</v>
      </c>
      <c r="B77" s="289" t="s">
        <v>110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491" t="str">
        <f>B26</f>
        <v>Zidovudine</v>
      </c>
      <c r="C79" s="491"/>
    </row>
    <row r="80" spans="1:8" ht="26.25" customHeight="1" x14ac:dyDescent="0.4">
      <c r="A80" s="291" t="s">
        <v>48</v>
      </c>
      <c r="B80" s="491" t="str">
        <f>B27</f>
        <v>Z1-3</v>
      </c>
      <c r="C80" s="491"/>
    </row>
    <row r="81" spans="1:12" ht="27" customHeight="1" x14ac:dyDescent="0.4">
      <c r="A81" s="291" t="s">
        <v>6</v>
      </c>
      <c r="B81" s="390">
        <f>B28</f>
        <v>99.4</v>
      </c>
    </row>
    <row r="82" spans="1:12" s="14" customFormat="1" ht="27" customHeight="1" x14ac:dyDescent="0.4">
      <c r="A82" s="291" t="s">
        <v>49</v>
      </c>
      <c r="B82" s="293">
        <v>0</v>
      </c>
      <c r="C82" s="482" t="s">
        <v>50</v>
      </c>
      <c r="D82" s="483"/>
      <c r="E82" s="483"/>
      <c r="F82" s="483"/>
      <c r="G82" s="484"/>
      <c r="I82" s="294"/>
      <c r="J82" s="294"/>
      <c r="K82" s="294"/>
      <c r="L82" s="294"/>
    </row>
    <row r="83" spans="1:12" s="14" customFormat="1" ht="19.5" customHeight="1" x14ac:dyDescent="0.3">
      <c r="A83" s="291" t="s">
        <v>51</v>
      </c>
      <c r="B83" s="295">
        <f>B81-B82</f>
        <v>99.4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52</v>
      </c>
      <c r="B84" s="298">
        <v>1</v>
      </c>
      <c r="C84" s="485" t="s">
        <v>111</v>
      </c>
      <c r="D84" s="486"/>
      <c r="E84" s="486"/>
      <c r="F84" s="486"/>
      <c r="G84" s="486"/>
      <c r="H84" s="487"/>
      <c r="I84" s="294"/>
      <c r="J84" s="294"/>
      <c r="K84" s="294"/>
      <c r="L84" s="294"/>
    </row>
    <row r="85" spans="1:12" s="14" customFormat="1" ht="27" customHeight="1" x14ac:dyDescent="0.4">
      <c r="A85" s="291" t="s">
        <v>54</v>
      </c>
      <c r="B85" s="298">
        <v>1</v>
      </c>
      <c r="C85" s="485" t="s">
        <v>112</v>
      </c>
      <c r="D85" s="486"/>
      <c r="E85" s="486"/>
      <c r="F85" s="486"/>
      <c r="G85" s="486"/>
      <c r="H85" s="487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56</v>
      </c>
      <c r="B87" s="303">
        <f>B84/B85</f>
        <v>1</v>
      </c>
      <c r="C87" s="281" t="s">
        <v>57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58</v>
      </c>
      <c r="B89" s="305">
        <v>20</v>
      </c>
      <c r="D89" s="391" t="s">
        <v>59</v>
      </c>
      <c r="E89" s="392"/>
      <c r="F89" s="488" t="s">
        <v>60</v>
      </c>
      <c r="G89" s="490"/>
    </row>
    <row r="90" spans="1:12" ht="27" customHeight="1" x14ac:dyDescent="0.4">
      <c r="A90" s="306" t="s">
        <v>61</v>
      </c>
      <c r="B90" s="307">
        <v>4</v>
      </c>
      <c r="C90" s="393" t="s">
        <v>62</v>
      </c>
      <c r="D90" s="309" t="s">
        <v>63</v>
      </c>
      <c r="E90" s="310" t="s">
        <v>64</v>
      </c>
      <c r="F90" s="309" t="s">
        <v>63</v>
      </c>
      <c r="G90" s="394" t="s">
        <v>64</v>
      </c>
      <c r="I90" s="312" t="s">
        <v>65</v>
      </c>
    </row>
    <row r="91" spans="1:12" ht="26.25" customHeight="1" x14ac:dyDescent="0.4">
      <c r="A91" s="306" t="s">
        <v>66</v>
      </c>
      <c r="B91" s="307">
        <v>20</v>
      </c>
      <c r="C91" s="395">
        <v>1</v>
      </c>
      <c r="D91" s="314">
        <v>103463977</v>
      </c>
      <c r="E91" s="315">
        <f>IF(ISBLANK(D91),"-",$D$101/$D$98*D91)</f>
        <v>122212643.00609334</v>
      </c>
      <c r="F91" s="314">
        <v>113686614</v>
      </c>
      <c r="G91" s="316">
        <f>IF(ISBLANK(F91),"-",$D$101/$F$98*F91)</f>
        <v>120646467.41206731</v>
      </c>
      <c r="I91" s="317"/>
    </row>
    <row r="92" spans="1:12" ht="26.25" customHeight="1" x14ac:dyDescent="0.4">
      <c r="A92" s="306" t="s">
        <v>67</v>
      </c>
      <c r="B92" s="307">
        <v>1</v>
      </c>
      <c r="C92" s="379">
        <v>2</v>
      </c>
      <c r="D92" s="319">
        <v>103261721</v>
      </c>
      <c r="E92" s="320">
        <f>IF(ISBLANK(D92),"-",$D$101/$D$98*D92)</f>
        <v>121973736.27700211</v>
      </c>
      <c r="F92" s="319">
        <v>113487107</v>
      </c>
      <c r="G92" s="321">
        <f>IF(ISBLANK(F92),"-",$D$101/$F$98*F92)</f>
        <v>120434746.66564786</v>
      </c>
      <c r="I92" s="492">
        <f>ABS((F96/D96*D95)-F95)/D95</f>
        <v>1.3641601137919195E-2</v>
      </c>
    </row>
    <row r="93" spans="1:12" ht="26.25" customHeight="1" x14ac:dyDescent="0.4">
      <c r="A93" s="306" t="s">
        <v>68</v>
      </c>
      <c r="B93" s="307">
        <v>1</v>
      </c>
      <c r="C93" s="379">
        <v>3</v>
      </c>
      <c r="D93" s="319">
        <v>103572181</v>
      </c>
      <c r="E93" s="320">
        <f>IF(ISBLANK(D93),"-",$D$101/$D$98*D93)</f>
        <v>122340454.60977674</v>
      </c>
      <c r="F93" s="319">
        <v>113975953</v>
      </c>
      <c r="G93" s="321">
        <f>IF(ISBLANK(F93),"-",$D$101/$F$98*F93)</f>
        <v>120953519.64105304</v>
      </c>
      <c r="I93" s="492"/>
    </row>
    <row r="94" spans="1:12" ht="27" customHeight="1" x14ac:dyDescent="0.4">
      <c r="A94" s="306" t="s">
        <v>69</v>
      </c>
      <c r="B94" s="307">
        <v>1</v>
      </c>
      <c r="C94" s="396">
        <v>4</v>
      </c>
      <c r="D94" s="324"/>
      <c r="E94" s="325" t="str">
        <f>IF(ISBLANK(D94),"-",$D$101/$D$98*D94)</f>
        <v>-</v>
      </c>
      <c r="F94" s="397"/>
      <c r="G94" s="326" t="str">
        <f>IF(ISBLANK(F94),"-",$D$101/$F$98*F94)</f>
        <v>-</v>
      </c>
      <c r="I94" s="327"/>
    </row>
    <row r="95" spans="1:12" ht="27" customHeight="1" x14ac:dyDescent="0.4">
      <c r="A95" s="306" t="s">
        <v>70</v>
      </c>
      <c r="B95" s="307">
        <v>1</v>
      </c>
      <c r="C95" s="398" t="s">
        <v>71</v>
      </c>
      <c r="D95" s="399">
        <f>AVERAGE(D91:D94)</f>
        <v>103432626.33333333</v>
      </c>
      <c r="E95" s="330">
        <f>AVERAGE(E91:E94)</f>
        <v>122175611.29762407</v>
      </c>
      <c r="F95" s="400">
        <f>AVERAGE(F91:F94)</f>
        <v>113716558</v>
      </c>
      <c r="G95" s="401">
        <f>AVERAGE(G91:G94)</f>
        <v>120678244.57292272</v>
      </c>
    </row>
    <row r="96" spans="1:12" ht="26.25" customHeight="1" x14ac:dyDescent="0.4">
      <c r="A96" s="306" t="s">
        <v>72</v>
      </c>
      <c r="B96" s="292">
        <v>1</v>
      </c>
      <c r="C96" s="402" t="s">
        <v>113</v>
      </c>
      <c r="D96" s="403">
        <v>28.39</v>
      </c>
      <c r="E96" s="322"/>
      <c r="F96" s="334">
        <v>31.6</v>
      </c>
    </row>
    <row r="97" spans="1:10" ht="26.25" customHeight="1" x14ac:dyDescent="0.4">
      <c r="A97" s="306" t="s">
        <v>74</v>
      </c>
      <c r="B97" s="292">
        <v>1</v>
      </c>
      <c r="C97" s="404" t="s">
        <v>114</v>
      </c>
      <c r="D97" s="405">
        <f>D96*$B$87</f>
        <v>28.39</v>
      </c>
      <c r="E97" s="337"/>
      <c r="F97" s="336">
        <f>F96*$B$87</f>
        <v>31.6</v>
      </c>
    </row>
    <row r="98" spans="1:10" ht="19.5" customHeight="1" x14ac:dyDescent="0.3">
      <c r="A98" s="306" t="s">
        <v>76</v>
      </c>
      <c r="B98" s="406">
        <f>(B97/B96)*(B95/B94)*(B93/B92)*(B91/B90)*B89</f>
        <v>100</v>
      </c>
      <c r="C98" s="404" t="s">
        <v>115</v>
      </c>
      <c r="D98" s="407">
        <f>D97*$B$83/100</f>
        <v>28.219660000000005</v>
      </c>
      <c r="E98" s="340"/>
      <c r="F98" s="339">
        <f>F97*$B$83/100</f>
        <v>31.410400000000003</v>
      </c>
    </row>
    <row r="99" spans="1:10" ht="19.5" customHeight="1" x14ac:dyDescent="0.3">
      <c r="A99" s="493" t="s">
        <v>78</v>
      </c>
      <c r="B99" s="507"/>
      <c r="C99" s="404" t="s">
        <v>116</v>
      </c>
      <c r="D99" s="408">
        <f>D98/$B$98</f>
        <v>0.28219660000000002</v>
      </c>
      <c r="E99" s="340"/>
      <c r="F99" s="343">
        <f>F98/$B$98</f>
        <v>0.31410400000000005</v>
      </c>
      <c r="G99" s="409"/>
      <c r="H99" s="332"/>
    </row>
    <row r="100" spans="1:10" ht="19.5" customHeight="1" x14ac:dyDescent="0.3">
      <c r="A100" s="495"/>
      <c r="B100" s="508"/>
      <c r="C100" s="404" t="s">
        <v>80</v>
      </c>
      <c r="D100" s="410">
        <f>$B$56/$B$116</f>
        <v>0.33333333333333331</v>
      </c>
      <c r="F100" s="348"/>
      <c r="G100" s="411"/>
      <c r="H100" s="332"/>
    </row>
    <row r="101" spans="1:10" ht="18.75" x14ac:dyDescent="0.3">
      <c r="C101" s="404" t="s">
        <v>81</v>
      </c>
      <c r="D101" s="405">
        <f>D100*$B$98</f>
        <v>33.333333333333329</v>
      </c>
      <c r="F101" s="348"/>
      <c r="G101" s="409"/>
      <c r="H101" s="332"/>
    </row>
    <row r="102" spans="1:10" ht="19.5" customHeight="1" x14ac:dyDescent="0.3">
      <c r="C102" s="412" t="s">
        <v>82</v>
      </c>
      <c r="D102" s="413">
        <f>D101/B34</f>
        <v>33.333333333333329</v>
      </c>
      <c r="F102" s="352"/>
      <c r="G102" s="409"/>
      <c r="H102" s="332"/>
      <c r="J102" s="414"/>
    </row>
    <row r="103" spans="1:10" ht="18.75" x14ac:dyDescent="0.3">
      <c r="C103" s="415" t="s">
        <v>117</v>
      </c>
      <c r="D103" s="416">
        <f>AVERAGE(E91:E94,G91:G94)</f>
        <v>121426927.93527341</v>
      </c>
      <c r="F103" s="352"/>
      <c r="G103" s="417"/>
      <c r="H103" s="332"/>
      <c r="J103" s="418"/>
    </row>
    <row r="104" spans="1:10" ht="18.75" x14ac:dyDescent="0.3">
      <c r="C104" s="382" t="s">
        <v>84</v>
      </c>
      <c r="D104" s="419">
        <f>STDEV(E91:E94,G91:G94)/D103</f>
        <v>6.9573691248536922E-3</v>
      </c>
      <c r="F104" s="352"/>
      <c r="G104" s="409"/>
      <c r="H104" s="332"/>
      <c r="J104" s="418"/>
    </row>
    <row r="105" spans="1:10" ht="19.5" customHeight="1" x14ac:dyDescent="0.3">
      <c r="C105" s="384" t="s">
        <v>20</v>
      </c>
      <c r="D105" s="420">
        <f>COUNT(E91:E94,G91:G94)</f>
        <v>6</v>
      </c>
      <c r="F105" s="352"/>
      <c r="G105" s="409"/>
      <c r="H105" s="332"/>
      <c r="J105" s="418"/>
    </row>
    <row r="106" spans="1:10" ht="19.5" customHeight="1" x14ac:dyDescent="0.3">
      <c r="A106" s="356"/>
      <c r="B106" s="356"/>
      <c r="C106" s="356"/>
      <c r="D106" s="356"/>
      <c r="E106" s="356"/>
    </row>
    <row r="107" spans="1:10" ht="26.25" customHeight="1" x14ac:dyDescent="0.4">
      <c r="A107" s="304" t="s">
        <v>118</v>
      </c>
      <c r="B107" s="305">
        <v>900</v>
      </c>
      <c r="C107" s="421" t="s">
        <v>119</v>
      </c>
      <c r="D107" s="422" t="s">
        <v>63</v>
      </c>
      <c r="E107" s="423" t="s">
        <v>120</v>
      </c>
      <c r="F107" s="424" t="s">
        <v>121</v>
      </c>
    </row>
    <row r="108" spans="1:10" ht="26.25" customHeight="1" x14ac:dyDescent="0.4">
      <c r="A108" s="306" t="s">
        <v>122</v>
      </c>
      <c r="B108" s="307">
        <v>1</v>
      </c>
      <c r="C108" s="425">
        <v>1</v>
      </c>
      <c r="D108" s="426">
        <v>121292059</v>
      </c>
      <c r="E108" s="457">
        <f t="shared" ref="E108:E113" si="1">IF(ISBLANK(D108),"-",D108/$D$103*$D$100*$B$116)</f>
        <v>299.66678988532436</v>
      </c>
      <c r="F108" s="427">
        <f t="shared" ref="F108:F113" si="2">IF(ISBLANK(D108), "-", E108/$B$56)</f>
        <v>0.99888929961774786</v>
      </c>
    </row>
    <row r="109" spans="1:10" ht="26.25" customHeight="1" x14ac:dyDescent="0.4">
      <c r="A109" s="306" t="s">
        <v>95</v>
      </c>
      <c r="B109" s="307">
        <v>1</v>
      </c>
      <c r="C109" s="425">
        <v>2</v>
      </c>
      <c r="D109" s="426">
        <v>118354198</v>
      </c>
      <c r="E109" s="458">
        <f t="shared" si="1"/>
        <v>292.40844682265697</v>
      </c>
      <c r="F109" s="428">
        <f t="shared" si="2"/>
        <v>0.97469482274218988</v>
      </c>
    </row>
    <row r="110" spans="1:10" ht="26.25" customHeight="1" x14ac:dyDescent="0.4">
      <c r="A110" s="306" t="s">
        <v>96</v>
      </c>
      <c r="B110" s="307">
        <v>1</v>
      </c>
      <c r="C110" s="425">
        <v>3</v>
      </c>
      <c r="D110" s="426">
        <v>118399056</v>
      </c>
      <c r="E110" s="458">
        <f t="shared" si="1"/>
        <v>292.51927396972252</v>
      </c>
      <c r="F110" s="428">
        <f t="shared" si="2"/>
        <v>0.97506424656574175</v>
      </c>
    </row>
    <row r="111" spans="1:10" ht="26.25" customHeight="1" x14ac:dyDescent="0.4">
      <c r="A111" s="306" t="s">
        <v>97</v>
      </c>
      <c r="B111" s="307">
        <v>1</v>
      </c>
      <c r="C111" s="425">
        <v>4</v>
      </c>
      <c r="D111" s="426">
        <v>118962919</v>
      </c>
      <c r="E111" s="458">
        <f t="shared" si="1"/>
        <v>293.9123661188558</v>
      </c>
      <c r="F111" s="428">
        <f t="shared" si="2"/>
        <v>0.97970788706285272</v>
      </c>
    </row>
    <row r="112" spans="1:10" ht="26.25" customHeight="1" x14ac:dyDescent="0.4">
      <c r="A112" s="306" t="s">
        <v>98</v>
      </c>
      <c r="B112" s="307">
        <v>1</v>
      </c>
      <c r="C112" s="425">
        <v>5</v>
      </c>
      <c r="D112" s="426">
        <v>120799107</v>
      </c>
      <c r="E112" s="458">
        <f t="shared" si="1"/>
        <v>298.44889198973704</v>
      </c>
      <c r="F112" s="428">
        <f t="shared" si="2"/>
        <v>0.9948296399657901</v>
      </c>
    </row>
    <row r="113" spans="1:10" ht="26.25" customHeight="1" x14ac:dyDescent="0.4">
      <c r="A113" s="306" t="s">
        <v>100</v>
      </c>
      <c r="B113" s="307">
        <v>1</v>
      </c>
      <c r="C113" s="429">
        <v>6</v>
      </c>
      <c r="D113" s="430">
        <v>120389502</v>
      </c>
      <c r="E113" s="459">
        <f t="shared" si="1"/>
        <v>297.43691299883727</v>
      </c>
      <c r="F113" s="431">
        <f t="shared" si="2"/>
        <v>0.99145637666279096</v>
      </c>
    </row>
    <row r="114" spans="1:10" ht="26.25" customHeight="1" x14ac:dyDescent="0.4">
      <c r="A114" s="306" t="s">
        <v>101</v>
      </c>
      <c r="B114" s="307">
        <v>1</v>
      </c>
      <c r="C114" s="425"/>
      <c r="D114" s="379"/>
      <c r="E114" s="280"/>
      <c r="F114" s="432"/>
    </row>
    <row r="115" spans="1:10" ht="26.25" customHeight="1" x14ac:dyDescent="0.4">
      <c r="A115" s="306" t="s">
        <v>102</v>
      </c>
      <c r="B115" s="307">
        <v>1</v>
      </c>
      <c r="C115" s="425"/>
      <c r="D115" s="433" t="s">
        <v>71</v>
      </c>
      <c r="E115" s="461">
        <f>AVERAGE(E108:E113)</f>
        <v>295.73211363085562</v>
      </c>
      <c r="F115" s="434">
        <f>AVERAGE(F108:F113)</f>
        <v>0.98577371210285225</v>
      </c>
    </row>
    <row r="116" spans="1:10" ht="27" customHeight="1" x14ac:dyDescent="0.4">
      <c r="A116" s="306" t="s">
        <v>103</v>
      </c>
      <c r="B116" s="338">
        <f>(B115/B114)*(B113/B112)*(B111/B110)*(B109/B108)*B107</f>
        <v>900</v>
      </c>
      <c r="C116" s="435"/>
      <c r="D116" s="398" t="s">
        <v>84</v>
      </c>
      <c r="E116" s="436">
        <f>STDEV(E108:E113)/E115</f>
        <v>1.0741003863302841E-2</v>
      </c>
      <c r="F116" s="436">
        <f>STDEV(F108:F113)/F115</f>
        <v>1.0741003863302829E-2</v>
      </c>
      <c r="I116" s="280"/>
    </row>
    <row r="117" spans="1:10" ht="27" customHeight="1" x14ac:dyDescent="0.4">
      <c r="A117" s="493" t="s">
        <v>78</v>
      </c>
      <c r="B117" s="494"/>
      <c r="C117" s="437"/>
      <c r="D117" s="438" t="s">
        <v>20</v>
      </c>
      <c r="E117" s="439">
        <f>COUNT(E108:E113)</f>
        <v>6</v>
      </c>
      <c r="F117" s="439">
        <f>COUNT(F108:F113)</f>
        <v>6</v>
      </c>
      <c r="I117" s="280"/>
      <c r="J117" s="418"/>
    </row>
    <row r="118" spans="1:10" ht="19.5" customHeight="1" x14ac:dyDescent="0.3">
      <c r="A118" s="495"/>
      <c r="B118" s="496"/>
      <c r="C118" s="280"/>
      <c r="D118" s="280"/>
      <c r="E118" s="280"/>
      <c r="F118" s="379"/>
      <c r="G118" s="280"/>
      <c r="H118" s="280"/>
      <c r="I118" s="280"/>
    </row>
    <row r="119" spans="1:10" ht="18.75" x14ac:dyDescent="0.3">
      <c r="A119" s="448"/>
      <c r="B119" s="302"/>
      <c r="C119" s="280"/>
      <c r="D119" s="280"/>
      <c r="E119" s="280"/>
      <c r="F119" s="379"/>
      <c r="G119" s="280"/>
      <c r="H119" s="280"/>
      <c r="I119" s="280"/>
    </row>
    <row r="120" spans="1:10" ht="26.25" customHeight="1" x14ac:dyDescent="0.4">
      <c r="A120" s="290" t="s">
        <v>106</v>
      </c>
      <c r="B120" s="386" t="s">
        <v>123</v>
      </c>
      <c r="C120" s="505" t="str">
        <f>B20</f>
        <v>Zidovudine</v>
      </c>
      <c r="D120" s="505"/>
      <c r="E120" s="387" t="s">
        <v>124</v>
      </c>
      <c r="F120" s="387"/>
      <c r="G120" s="388">
        <f>F115</f>
        <v>0.98577371210285225</v>
      </c>
      <c r="H120" s="280"/>
      <c r="I120" s="280"/>
    </row>
    <row r="121" spans="1:10" ht="19.5" customHeight="1" x14ac:dyDescent="0.3">
      <c r="A121" s="440"/>
      <c r="B121" s="440"/>
      <c r="C121" s="441"/>
      <c r="D121" s="441"/>
      <c r="E121" s="441"/>
      <c r="F121" s="441"/>
      <c r="G121" s="441"/>
      <c r="H121" s="441"/>
    </row>
    <row r="122" spans="1:10" ht="18.75" x14ac:dyDescent="0.3">
      <c r="B122" s="506" t="s">
        <v>26</v>
      </c>
      <c r="C122" s="506"/>
      <c r="E122" s="393" t="s">
        <v>27</v>
      </c>
      <c r="F122" s="442"/>
      <c r="G122" s="506" t="s">
        <v>28</v>
      </c>
      <c r="H122" s="506"/>
    </row>
    <row r="123" spans="1:10" ht="69.95" customHeight="1" x14ac:dyDescent="0.3">
      <c r="A123" s="443" t="s">
        <v>29</v>
      </c>
      <c r="B123" s="444"/>
      <c r="C123" s="444"/>
      <c r="E123" s="444"/>
      <c r="F123" s="280"/>
      <c r="G123" s="445"/>
      <c r="H123" s="445"/>
    </row>
    <row r="124" spans="1:10" ht="69.95" customHeight="1" x14ac:dyDescent="0.3">
      <c r="A124" s="443" t="s">
        <v>30</v>
      </c>
      <c r="B124" s="446"/>
      <c r="C124" s="446"/>
      <c r="E124" s="446"/>
      <c r="F124" s="280"/>
      <c r="G124" s="447"/>
      <c r="H124" s="447"/>
    </row>
    <row r="125" spans="1:10" ht="18.75" x14ac:dyDescent="0.3">
      <c r="A125" s="378"/>
      <c r="B125" s="378"/>
      <c r="C125" s="379"/>
      <c r="D125" s="379"/>
      <c r="E125" s="379"/>
      <c r="F125" s="383"/>
      <c r="G125" s="379"/>
      <c r="H125" s="379"/>
      <c r="I125" s="280"/>
    </row>
    <row r="126" spans="1:10" ht="18.75" x14ac:dyDescent="0.3">
      <c r="A126" s="378"/>
      <c r="B126" s="378"/>
      <c r="C126" s="379"/>
      <c r="D126" s="379"/>
      <c r="E126" s="379"/>
      <c r="F126" s="383"/>
      <c r="G126" s="379"/>
      <c r="H126" s="379"/>
      <c r="I126" s="280"/>
    </row>
    <row r="127" spans="1:10" ht="18.75" x14ac:dyDescent="0.3">
      <c r="A127" s="378"/>
      <c r="B127" s="378"/>
      <c r="C127" s="379"/>
      <c r="D127" s="379"/>
      <c r="E127" s="379"/>
      <c r="F127" s="383"/>
      <c r="G127" s="379"/>
      <c r="H127" s="379"/>
      <c r="I127" s="280"/>
    </row>
    <row r="128" spans="1:10" ht="18.75" x14ac:dyDescent="0.3">
      <c r="A128" s="378"/>
      <c r="B128" s="378"/>
      <c r="C128" s="379"/>
      <c r="D128" s="379"/>
      <c r="E128" s="379"/>
      <c r="F128" s="383"/>
      <c r="G128" s="379"/>
      <c r="H128" s="379"/>
      <c r="I128" s="280"/>
    </row>
    <row r="129" spans="1:9" ht="18.75" x14ac:dyDescent="0.3">
      <c r="A129" s="378"/>
      <c r="B129" s="378"/>
      <c r="C129" s="379"/>
      <c r="D129" s="379"/>
      <c r="E129" s="379"/>
      <c r="F129" s="383"/>
      <c r="G129" s="379"/>
      <c r="H129" s="379"/>
      <c r="I129" s="280"/>
    </row>
    <row r="130" spans="1:9" ht="18.75" x14ac:dyDescent="0.3">
      <c r="A130" s="378"/>
      <c r="B130" s="378"/>
      <c r="C130" s="379"/>
      <c r="D130" s="379"/>
      <c r="E130" s="379"/>
      <c r="F130" s="383"/>
      <c r="G130" s="379"/>
      <c r="H130" s="379"/>
      <c r="I130" s="280"/>
    </row>
    <row r="131" spans="1:9" ht="18.75" x14ac:dyDescent="0.3">
      <c r="A131" s="378"/>
      <c r="B131" s="378"/>
      <c r="C131" s="379"/>
      <c r="D131" s="379"/>
      <c r="E131" s="379"/>
      <c r="F131" s="383"/>
      <c r="G131" s="379"/>
      <c r="H131" s="379"/>
      <c r="I131" s="280"/>
    </row>
    <row r="132" spans="1:9" ht="18.75" x14ac:dyDescent="0.3">
      <c r="A132" s="378"/>
      <c r="B132" s="378"/>
      <c r="C132" s="379"/>
      <c r="D132" s="379"/>
      <c r="E132" s="379"/>
      <c r="F132" s="383"/>
      <c r="G132" s="379"/>
      <c r="H132" s="379"/>
      <c r="I132" s="280"/>
    </row>
    <row r="133" spans="1:9" ht="18.75" x14ac:dyDescent="0.3">
      <c r="A133" s="378"/>
      <c r="B133" s="378"/>
      <c r="C133" s="379"/>
      <c r="D133" s="379"/>
      <c r="E133" s="379"/>
      <c r="F133" s="383"/>
      <c r="G133" s="379"/>
      <c r="H133" s="379"/>
      <c r="I133" s="280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1953125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Lamivudine SST</vt:lpstr>
      <vt:lpstr>Zidovudine SST</vt:lpstr>
      <vt:lpstr>Uniformity</vt:lpstr>
      <vt:lpstr>Lamivudine</vt:lpstr>
      <vt:lpstr>Zidovudine</vt:lpstr>
      <vt:lpstr>Lamivudine!Print_Area</vt:lpstr>
      <vt:lpstr>'Lamivudine SST'!Print_Area</vt:lpstr>
      <vt:lpstr>Uniformity!Print_Area</vt:lpstr>
      <vt:lpstr>Zidovudine!Print_Area</vt:lpstr>
      <vt:lpstr>'Zidovudine SST'!Print_Area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2016-09-07T06:21:53Z</cp:lastPrinted>
  <dcterms:created xsi:type="dcterms:W3CDTF">2005-07-05T10:19:27Z</dcterms:created>
  <dcterms:modified xsi:type="dcterms:W3CDTF">2016-09-26T06:15:31Z</dcterms:modified>
</cp:coreProperties>
</file>