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3"/>
  </bookViews>
  <sheets>
    <sheet name="SST " sheetId="5" r:id="rId1"/>
    <sheet name="Uniformity" sheetId="2" r:id="rId2"/>
    <sheet name="Sulfamethoxazole " sheetId="6" r:id="rId3"/>
    <sheet name="Trimethoprim " sheetId="7" r:id="rId4"/>
  </sheets>
  <definedNames>
    <definedName name="_xlnm.Print_Area" localSheetId="3">'Trimethoprim '!$A$1:$H$124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7" i="7" l="1"/>
  <c r="B57" i="6"/>
  <c r="C120" i="7"/>
  <c r="B116" i="7"/>
  <c r="D101" i="7"/>
  <c r="D102" i="7" s="1"/>
  <c r="D100" i="7"/>
  <c r="B98" i="7"/>
  <c r="F97" i="7"/>
  <c r="D97" i="7"/>
  <c r="D98" i="7" s="1"/>
  <c r="F95" i="7"/>
  <c r="D95" i="7"/>
  <c r="G94" i="7"/>
  <c r="E94" i="7"/>
  <c r="I92" i="7"/>
  <c r="B87" i="7"/>
  <c r="B81" i="7"/>
  <c r="B83" i="7" s="1"/>
  <c r="F98" i="7" s="1"/>
  <c r="B80" i="7"/>
  <c r="B79" i="7"/>
  <c r="C76" i="7"/>
  <c r="H71" i="7"/>
  <c r="G71" i="7"/>
  <c r="B68" i="7"/>
  <c r="H67" i="7"/>
  <c r="G67" i="7"/>
  <c r="H63" i="7"/>
  <c r="G63" i="7"/>
  <c r="B69" i="7"/>
  <c r="C56" i="7"/>
  <c r="B55" i="7"/>
  <c r="B45" i="7"/>
  <c r="D48" i="7" s="1"/>
  <c r="F42" i="7"/>
  <c r="I39" i="7" s="1"/>
  <c r="D42" i="7"/>
  <c r="G41" i="7"/>
  <c r="E41" i="7"/>
  <c r="B34" i="7"/>
  <c r="D44" i="7" s="1"/>
  <c r="D45" i="7" s="1"/>
  <c r="D46" i="7" s="1"/>
  <c r="B30" i="7"/>
  <c r="C120" i="6"/>
  <c r="B116" i="6"/>
  <c r="D101" i="6"/>
  <c r="D102" i="6" s="1"/>
  <c r="D100" i="6"/>
  <c r="B98" i="6"/>
  <c r="F97" i="6"/>
  <c r="D97" i="6"/>
  <c r="D98" i="6" s="1"/>
  <c r="F95" i="6"/>
  <c r="D95" i="6"/>
  <c r="I92" i="6" s="1"/>
  <c r="G94" i="6"/>
  <c r="E94" i="6"/>
  <c r="B87" i="6"/>
  <c r="B81" i="6"/>
  <c r="B83" i="6" s="1"/>
  <c r="F98" i="6" s="1"/>
  <c r="B80" i="6"/>
  <c r="B79" i="6"/>
  <c r="C76" i="6"/>
  <c r="H71" i="6"/>
  <c r="G71" i="6"/>
  <c r="B68" i="6"/>
  <c r="B69" i="6" s="1"/>
  <c r="H67" i="6"/>
  <c r="G67" i="6"/>
  <c r="H63" i="6"/>
  <c r="G63" i="6"/>
  <c r="C56" i="6"/>
  <c r="B55" i="6"/>
  <c r="D48" i="6"/>
  <c r="D49" i="6" s="1"/>
  <c r="B45" i="6"/>
  <c r="F42" i="6"/>
  <c r="D42" i="6"/>
  <c r="G41" i="6"/>
  <c r="E41" i="6"/>
  <c r="I39" i="6"/>
  <c r="B34" i="6"/>
  <c r="D44" i="6" s="1"/>
  <c r="D45" i="6" s="1"/>
  <c r="B30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C46" i="2"/>
  <c r="D50" i="2" s="1"/>
  <c r="C45" i="2"/>
  <c r="D41" i="2"/>
  <c r="D37" i="2"/>
  <c r="D33" i="2"/>
  <c r="D29" i="2"/>
  <c r="D25" i="2"/>
  <c r="C19" i="2"/>
  <c r="D99" i="7" l="1"/>
  <c r="E93" i="7"/>
  <c r="E91" i="7"/>
  <c r="G91" i="7"/>
  <c r="F99" i="7"/>
  <c r="D49" i="7"/>
  <c r="E40" i="7"/>
  <c r="E39" i="7"/>
  <c r="G38" i="7"/>
  <c r="E38" i="7"/>
  <c r="F44" i="7"/>
  <c r="F45" i="7" s="1"/>
  <c r="F46" i="7" s="1"/>
  <c r="G92" i="7"/>
  <c r="E92" i="7"/>
  <c r="G93" i="7"/>
  <c r="D99" i="6"/>
  <c r="E93" i="6"/>
  <c r="E38" i="6"/>
  <c r="D46" i="6"/>
  <c r="G91" i="6"/>
  <c r="F99" i="6"/>
  <c r="G38" i="6"/>
  <c r="E40" i="6"/>
  <c r="G93" i="6"/>
  <c r="E39" i="6"/>
  <c r="G40" i="6"/>
  <c r="F44" i="6"/>
  <c r="F45" i="6" s="1"/>
  <c r="F46" i="6" s="1"/>
  <c r="G92" i="6"/>
  <c r="G39" i="6"/>
  <c r="E91" i="6"/>
  <c r="E92" i="6"/>
  <c r="D27" i="2"/>
  <c r="D31" i="2"/>
  <c r="D35" i="2"/>
  <c r="D39" i="2"/>
  <c r="D43" i="2"/>
  <c r="C49" i="2"/>
  <c r="D24" i="2"/>
  <c r="D28" i="2"/>
  <c r="D32" i="2"/>
  <c r="D36" i="2"/>
  <c r="D40" i="2"/>
  <c r="D49" i="2"/>
  <c r="C50" i="2"/>
  <c r="D26" i="2"/>
  <c r="D30" i="2"/>
  <c r="D34" i="2"/>
  <c r="D38" i="2"/>
  <c r="D42" i="2"/>
  <c r="B49" i="2"/>
  <c r="D50" i="7" l="1"/>
  <c r="E42" i="7"/>
  <c r="E95" i="7"/>
  <c r="D105" i="7"/>
  <c r="D103" i="7"/>
  <c r="G42" i="7"/>
  <c r="G39" i="7"/>
  <c r="G40" i="7"/>
  <c r="D52" i="7" s="1"/>
  <c r="G95" i="7"/>
  <c r="G95" i="6"/>
  <c r="D105" i="6"/>
  <c r="D103" i="6"/>
  <c r="E95" i="6"/>
  <c r="G42" i="6"/>
  <c r="D50" i="6"/>
  <c r="E42" i="6"/>
  <c r="D52" i="6"/>
  <c r="E112" i="7" l="1"/>
  <c r="F112" i="7" s="1"/>
  <c r="E110" i="7"/>
  <c r="F110" i="7" s="1"/>
  <c r="E108" i="7"/>
  <c r="E113" i="7"/>
  <c r="F113" i="7" s="1"/>
  <c r="E111" i="7"/>
  <c r="F111" i="7" s="1"/>
  <c r="E109" i="7"/>
  <c r="F109" i="7" s="1"/>
  <c r="D104" i="7"/>
  <c r="D51" i="7"/>
  <c r="G69" i="7"/>
  <c r="H69" i="7" s="1"/>
  <c r="G64" i="7"/>
  <c r="H64" i="7" s="1"/>
  <c r="G62" i="7"/>
  <c r="H62" i="7" s="1"/>
  <c r="G70" i="7"/>
  <c r="H70" i="7" s="1"/>
  <c r="G65" i="7"/>
  <c r="H65" i="7" s="1"/>
  <c r="G61" i="7"/>
  <c r="H61" i="7" s="1"/>
  <c r="G68" i="7"/>
  <c r="H68" i="7" s="1"/>
  <c r="G66" i="7"/>
  <c r="H66" i="7" s="1"/>
  <c r="G60" i="7"/>
  <c r="E112" i="6"/>
  <c r="F112" i="6" s="1"/>
  <c r="E108" i="6"/>
  <c r="E113" i="6"/>
  <c r="F113" i="6" s="1"/>
  <c r="E111" i="6"/>
  <c r="F111" i="6" s="1"/>
  <c r="E109" i="6"/>
  <c r="F109" i="6" s="1"/>
  <c r="D104" i="6"/>
  <c r="E110" i="6"/>
  <c r="F110" i="6" s="1"/>
  <c r="G68" i="6"/>
  <c r="H68" i="6" s="1"/>
  <c r="G60" i="6"/>
  <c r="G69" i="6"/>
  <c r="H69" i="6" s="1"/>
  <c r="G66" i="6"/>
  <c r="H66" i="6" s="1"/>
  <c r="G64" i="6"/>
  <c r="H64" i="6" s="1"/>
  <c r="G62" i="6"/>
  <c r="H62" i="6" s="1"/>
  <c r="D51" i="6"/>
  <c r="G70" i="6"/>
  <c r="H70" i="6" s="1"/>
  <c r="G65" i="6"/>
  <c r="H65" i="6" s="1"/>
  <c r="G61" i="6"/>
  <c r="H61" i="6" s="1"/>
  <c r="E115" i="7" l="1"/>
  <c r="E116" i="7" s="1"/>
  <c r="E117" i="7"/>
  <c r="F108" i="7"/>
  <c r="G74" i="7"/>
  <c r="G72" i="7"/>
  <c r="G73" i="7" s="1"/>
  <c r="H60" i="7"/>
  <c r="E115" i="6"/>
  <c r="E116" i="6" s="1"/>
  <c r="E117" i="6"/>
  <c r="F108" i="6"/>
  <c r="H60" i="6"/>
  <c r="G74" i="6"/>
  <c r="G72" i="6"/>
  <c r="G73" i="6" s="1"/>
  <c r="F117" i="7" l="1"/>
  <c r="F115" i="7"/>
  <c r="H74" i="7"/>
  <c r="H72" i="7"/>
  <c r="F117" i="6"/>
  <c r="F115" i="6"/>
  <c r="H74" i="6"/>
  <c r="H72" i="6"/>
  <c r="G120" i="7" l="1"/>
  <c r="F116" i="7"/>
  <c r="G76" i="7"/>
  <c r="H73" i="7"/>
  <c r="G120" i="6"/>
  <c r="F116" i="6"/>
  <c r="H73" i="6"/>
  <c r="G76" i="6"/>
</calcChain>
</file>

<file path=xl/sharedStrings.xml><?xml version="1.0" encoding="utf-8"?>
<sst xmlns="http://schemas.openxmlformats.org/spreadsheetml/2006/main" count="393" uniqueCount="131">
  <si>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</si>
  <si>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</si>
  <si>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</si>
  <si>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</si>
  <si>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</si>
  <si>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</si>
  <si>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</si>
  <si>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NDQB201607020</t>
  </si>
  <si>
    <t>Weight (mg):</t>
  </si>
  <si>
    <t>Tremethoprim, Sulfamethoxazole</t>
  </si>
  <si>
    <t>Standard Conc (mg/mL):</t>
  </si>
  <si>
    <t>Each tablets contains Trimethoprim B.P 160 mg, Sulfamethoxazole 800 mg</t>
  </si>
  <si>
    <t>2016-07-14 14:54:03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</si>
  <si>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</si>
  <si>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</si>
  <si>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</si>
  <si>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</si>
  <si>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</si>
  <si>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</si>
  <si>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</si>
  <si>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</si>
  <si>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</si>
  <si>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</si>
  <si>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</si>
  <si>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</si>
  <si>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</si>
  <si>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</si>
  <si>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</si>
  <si>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</si>
  <si>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</si>
  <si>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</si>
  <si>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</si>
  <si>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</si>
  <si>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</si>
  <si>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</si>
  <si>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</si>
  <si>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</si>
  <si>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</si>
  <si>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</si>
  <si>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</si>
  <si>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</si>
  <si>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</si>
  <si>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</si>
  <si>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</si>
  <si>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</si>
  <si>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</si>
  <si>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</si>
  <si>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</si>
  <si>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</si>
  <si>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</si>
  <si>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</si>
  <si>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</si>
  <si>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</si>
  <si>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</si>
  <si>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</si>
  <si>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</si>
  <si>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</si>
  <si>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</si>
  <si>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</si>
  <si>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</si>
  <si>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</si>
  <si>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</si>
  <si>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</si>
  <si>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</si>
  <si>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</si>
  <si>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</si>
  <si>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</si>
  <si>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</si>
  <si>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</si>
  <si>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</si>
  <si>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</si>
  <si>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</si>
  <si>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</si>
  <si>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</si>
  <si>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</si>
  <si>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</si>
  <si>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</si>
  <si>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</si>
  <si>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</si>
  <si>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</si>
  <si>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</si>
  <si>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</si>
  <si>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</si>
  <si>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</si>
  <si>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</si>
  <si>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</si>
  <si>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</si>
  <si>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</si>
  <si>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</si>
  <si>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</si>
  <si>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</si>
  <si>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</si>
  <si>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</si>
  <si>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</si>
  <si>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</si>
  <si>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</si>
  <si>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</si>
  <si>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</si>
  <si>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</si>
  <si>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</si>
  <si>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</si>
  <si>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</si>
  <si>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</si>
  <si>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</si>
  <si>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</si>
  <si>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</si>
  <si>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</si>
  <si>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</si>
  <si>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</si>
  <si>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</si>
  <si>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</si>
  <si>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</si>
  <si>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</si>
  <si>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</si>
  <si>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</si>
  <si>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</si>
  <si>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</si>
  <si>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</si>
  <si>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</si>
  <si>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</si>
  <si>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</si>
  <si>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</si>
  <si>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</si>
  <si>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</si>
  <si>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</si>
  <si>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Trimethoprim</t>
  </si>
  <si>
    <t>Sulfamethoxazole</t>
  </si>
  <si>
    <t>2016-06-29 07:56:57</t>
  </si>
  <si>
    <t>sulfamethoxazole</t>
  </si>
  <si>
    <t>S12 5</t>
  </si>
  <si>
    <t>T 7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</si>
</sst>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50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4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" fillId="2" borderId="0" xfId="3" applyFont="1" applyFill="1"/>
    <xf numFmtId="0" fontId="11" fillId="2" borderId="0" xfId="3" applyFont="1" applyFill="1"/>
    <xf numFmtId="0" fontId="24" fillId="2" borderId="0" xfId="3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0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0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0" fontId="11" fillId="2" borderId="22" xfId="3" applyNumberFormat="1" applyFont="1" applyFill="1" applyBorder="1" applyAlignment="1">
      <alignment horizontal="center" vertical="center"/>
    </xf>
    <xf numFmtId="166" fontId="11" fillId="2" borderId="14" xfId="3" applyNumberFormat="1" applyFont="1" applyFill="1" applyBorder="1" applyAlignment="1">
      <alignment horizontal="center"/>
    </xf>
    <xf numFmtId="10" fontId="11" fillId="2" borderId="24" xfId="3" applyNumberFormat="1" applyFont="1" applyFill="1" applyBorder="1" applyAlignment="1">
      <alignment horizontal="center" vertical="center"/>
    </xf>
    <xf numFmtId="166" fontId="11" fillId="2" borderId="15" xfId="3" applyNumberFormat="1" applyFont="1" applyFill="1" applyBorder="1" applyAlignment="1">
      <alignment horizontal="center"/>
    </xf>
    <xf numFmtId="10" fontId="11" fillId="2" borderId="44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10" fontId="11" fillId="2" borderId="15" xfId="3" applyNumberFormat="1" applyFont="1" applyFill="1" applyBorder="1" applyAlignment="1">
      <alignment horizontal="center" vertic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0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7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54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0" fontId="11" fillId="2" borderId="23" xfId="3" applyFont="1" applyFill="1" applyBorder="1" applyAlignment="1">
      <alignment horizontal="center"/>
    </xf>
    <xf numFmtId="1" fontId="13" fillId="3" borderId="31" xfId="3" applyNumberFormat="1" applyFont="1" applyFill="1" applyBorder="1" applyAlignment="1" applyProtection="1">
      <alignment horizontal="center"/>
      <protection locked="0"/>
    </xf>
    <xf numFmtId="166" fontId="11" fillId="2" borderId="26" xfId="3" applyNumberFormat="1" applyFont="1" applyFill="1" applyBorder="1" applyAlignment="1">
      <alignment horizontal="center"/>
    </xf>
    <xf numFmtId="10" fontId="11" fillId="2" borderId="30" xfId="3" applyNumberFormat="1" applyFont="1" applyFill="1" applyBorder="1" applyAlignment="1">
      <alignment horizontal="center"/>
    </xf>
    <xf numFmtId="166" fontId="11" fillId="2" borderId="31" xfId="3" applyNumberFormat="1" applyFont="1" applyFill="1" applyBorder="1" applyAlignment="1">
      <alignment horizontal="center"/>
    </xf>
    <xf numFmtId="10" fontId="11" fillId="2" borderId="32" xfId="3" applyNumberFormat="1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1" fontId="13" fillId="3" borderId="35" xfId="3" applyNumberFormat="1" applyFont="1" applyFill="1" applyBorder="1" applyAlignment="1" applyProtection="1">
      <alignment horizontal="center"/>
      <protection locked="0"/>
    </xf>
    <xf numFmtId="166" fontId="11" fillId="2" borderId="35" xfId="3" applyNumberFormat="1" applyFont="1" applyFill="1" applyBorder="1" applyAlignment="1">
      <alignment horizontal="center"/>
    </xf>
    <xf numFmtId="10" fontId="11" fillId="2" borderId="36" xfId="3" applyNumberFormat="1" applyFont="1" applyFill="1" applyBorder="1" applyAlignment="1">
      <alignment horizontal="center"/>
    </xf>
    <xf numFmtId="2" fontId="11" fillId="2" borderId="24" xfId="3" applyNumberFormat="1" applyFont="1" applyFill="1" applyBorder="1" applyAlignment="1">
      <alignment horizontal="center"/>
    </xf>
    <xf numFmtId="171" fontId="11" fillId="2" borderId="2" xfId="3" applyNumberFormat="1" applyFont="1" applyFill="1" applyBorder="1" applyAlignment="1">
      <alignment horizontal="right"/>
    </xf>
    <xf numFmtId="2" fontId="13" fillId="7" borderId="27" xfId="3" applyNumberFormat="1" applyFont="1" applyFill="1" applyBorder="1" applyAlignment="1">
      <alignment horizontal="center"/>
    </xf>
    <xf numFmtId="10" fontId="13" fillId="7" borderId="27" xfId="3" applyNumberFormat="1" applyFont="1" applyFill="1" applyBorder="1" applyAlignment="1">
      <alignment horizontal="center"/>
    </xf>
    <xf numFmtId="0" fontId="11" fillId="2" borderId="23" xfId="3" applyFont="1" applyFill="1" applyBorder="1"/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1" fillId="2" borderId="56" xfId="3" applyFont="1" applyFill="1" applyBorder="1" applyAlignment="1">
      <alignment horizontal="right"/>
    </xf>
    <xf numFmtId="0" fontId="13" fillId="7" borderId="17" xfId="3" applyFont="1" applyFill="1" applyBorder="1" applyAlignment="1">
      <alignment horizontal="center"/>
    </xf>
    <xf numFmtId="0" fontId="19" fillId="2" borderId="0" xfId="3" applyFont="1" applyFill="1" applyAlignment="1">
      <alignment horizontal="righ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/>
    </xf>
    <xf numFmtId="0" fontId="14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10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0" xfId="3" applyFont="1" applyFill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/>
    </xf>
    <xf numFmtId="0" fontId="12" fillId="2" borderId="58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40" xfId="3" applyFont="1" applyFill="1" applyBorder="1" applyAlignment="1">
      <alignment horizontal="center"/>
    </xf>
    <xf numFmtId="0" fontId="14" fillId="3" borderId="0" xfId="3" applyFont="1" applyFill="1" applyAlignment="1" applyProtection="1">
      <alignment horizontal="left" wrapText="1"/>
      <protection locked="0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D49" sqref="D49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24" t="s">
        <v>0</v>
      </c>
      <c r="B15" s="424"/>
      <c r="C15" s="424"/>
      <c r="D15" s="424"/>
      <c r="E15" s="424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49" t="s">
        <v>124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99.9</v>
      </c>
      <c r="C19" s="55"/>
      <c r="D19" s="55"/>
      <c r="E19" s="55"/>
    </row>
    <row r="20" spans="1:5" ht="16.5" customHeight="1" x14ac:dyDescent="0.3">
      <c r="A20" s="53" t="s">
        <v>8</v>
      </c>
      <c r="B20" s="57">
        <v>20.78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B20/25*5/25</f>
        <v>0.16624000000000003</v>
      </c>
      <c r="C21" s="55"/>
      <c r="D21" s="55"/>
      <c r="E21" s="55"/>
    </row>
    <row r="22" spans="1:5" ht="15.75" customHeight="1" x14ac:dyDescent="0.25">
      <c r="A22" s="55"/>
      <c r="B22" s="55"/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155838255</v>
      </c>
      <c r="C24" s="62">
        <v>9586.2000000000007</v>
      </c>
      <c r="D24" s="63">
        <v>0.9</v>
      </c>
      <c r="E24" s="64">
        <v>8.6</v>
      </c>
    </row>
    <row r="25" spans="1:5" ht="16.5" customHeight="1" x14ac:dyDescent="0.3">
      <c r="A25" s="61">
        <v>2</v>
      </c>
      <c r="B25" s="62">
        <v>155960986</v>
      </c>
      <c r="C25" s="62">
        <v>9642.9</v>
      </c>
      <c r="D25" s="63">
        <v>0.9</v>
      </c>
      <c r="E25" s="63">
        <v>8.6</v>
      </c>
    </row>
    <row r="26" spans="1:5" ht="16.5" customHeight="1" x14ac:dyDescent="0.3">
      <c r="A26" s="61">
        <v>3</v>
      </c>
      <c r="B26" s="62">
        <v>156079323</v>
      </c>
      <c r="C26" s="62">
        <v>9517.2000000000007</v>
      </c>
      <c r="D26" s="63">
        <v>0.9</v>
      </c>
      <c r="E26" s="63">
        <v>8.6</v>
      </c>
    </row>
    <row r="27" spans="1:5" ht="16.5" customHeight="1" x14ac:dyDescent="0.3">
      <c r="A27" s="61">
        <v>4</v>
      </c>
      <c r="B27" s="62">
        <v>156157524</v>
      </c>
      <c r="C27" s="62">
        <v>9587.2000000000007</v>
      </c>
      <c r="D27" s="63">
        <v>0.9</v>
      </c>
      <c r="E27" s="63">
        <v>8.6</v>
      </c>
    </row>
    <row r="28" spans="1:5" ht="16.5" customHeight="1" x14ac:dyDescent="0.3">
      <c r="A28" s="61">
        <v>5</v>
      </c>
      <c r="B28" s="62">
        <v>156615552</v>
      </c>
      <c r="C28" s="62">
        <v>9541.6</v>
      </c>
      <c r="D28" s="63">
        <v>0.9</v>
      </c>
      <c r="E28" s="63">
        <v>8.6</v>
      </c>
    </row>
    <row r="29" spans="1:5" ht="16.5" customHeight="1" x14ac:dyDescent="0.3">
      <c r="A29" s="61">
        <v>6</v>
      </c>
      <c r="B29" s="65">
        <v>156625475</v>
      </c>
      <c r="C29" s="65">
        <v>9578.4</v>
      </c>
      <c r="D29" s="66">
        <v>0.9</v>
      </c>
      <c r="E29" s="66">
        <v>8.6</v>
      </c>
    </row>
    <row r="30" spans="1:5" ht="16.5" customHeight="1" x14ac:dyDescent="0.3">
      <c r="A30" s="67" t="s">
        <v>18</v>
      </c>
      <c r="B30" s="68">
        <f>AVERAGE(B24:B29)</f>
        <v>156212852.5</v>
      </c>
      <c r="C30" s="69">
        <f>AVERAGE(C24:C29)</f>
        <v>9575.5833333333339</v>
      </c>
      <c r="D30" s="70">
        <f>AVERAGE(D24:D29)</f>
        <v>0.9</v>
      </c>
      <c r="E30" s="70">
        <f>AVERAGE(E24:E29)</f>
        <v>8.6</v>
      </c>
    </row>
    <row r="31" spans="1:5" ht="16.5" customHeight="1" x14ac:dyDescent="0.3">
      <c r="A31" s="71" t="s">
        <v>19</v>
      </c>
      <c r="B31" s="72">
        <f>(STDEV(B24:B29)/B30)</f>
        <v>2.1367578377921659E-3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/>
    </row>
    <row r="39" spans="1:5" ht="16.5" customHeight="1" x14ac:dyDescent="0.3">
      <c r="A39" s="56" t="s">
        <v>4</v>
      </c>
      <c r="B39" s="53" t="s">
        <v>125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99.7</v>
      </c>
      <c r="C40" s="55"/>
      <c r="D40" s="55"/>
      <c r="E40" s="55"/>
    </row>
    <row r="41" spans="1:5" ht="16.5" customHeight="1" x14ac:dyDescent="0.3">
      <c r="A41" s="53" t="s">
        <v>8</v>
      </c>
      <c r="B41" s="57">
        <v>20.56</v>
      </c>
      <c r="C41" s="55"/>
      <c r="D41" s="55"/>
      <c r="E41" s="55"/>
    </row>
    <row r="42" spans="1:5" ht="16.5" customHeight="1" x14ac:dyDescent="0.3">
      <c r="A42" s="53" t="s">
        <v>10</v>
      </c>
      <c r="B42" s="58">
        <f>B41/25*1/25</f>
        <v>3.2895999999999995E-2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>
        <v>11621711</v>
      </c>
      <c r="C45" s="62">
        <v>6782</v>
      </c>
      <c r="D45" s="63">
        <v>1.3</v>
      </c>
      <c r="E45" s="64">
        <v>4.7</v>
      </c>
    </row>
    <row r="46" spans="1:5" ht="16.5" customHeight="1" x14ac:dyDescent="0.3">
      <c r="A46" s="61">
        <v>2</v>
      </c>
      <c r="B46" s="62">
        <v>11578992</v>
      </c>
      <c r="C46" s="62">
        <v>6722.8</v>
      </c>
      <c r="D46" s="63">
        <v>1.3</v>
      </c>
      <c r="E46" s="63">
        <v>4.7</v>
      </c>
    </row>
    <row r="47" spans="1:5" ht="16.5" customHeight="1" x14ac:dyDescent="0.3">
      <c r="A47" s="61">
        <v>3</v>
      </c>
      <c r="B47" s="62">
        <v>11553209</v>
      </c>
      <c r="C47" s="62">
        <v>6632.9</v>
      </c>
      <c r="D47" s="63">
        <v>1.3</v>
      </c>
      <c r="E47" s="63">
        <v>4.7</v>
      </c>
    </row>
    <row r="48" spans="1:5" ht="16.5" customHeight="1" x14ac:dyDescent="0.3">
      <c r="A48" s="61">
        <v>4</v>
      </c>
      <c r="B48" s="62">
        <v>11514522</v>
      </c>
      <c r="C48" s="62">
        <v>6667.4</v>
      </c>
      <c r="D48" s="63">
        <v>1.3</v>
      </c>
      <c r="E48" s="63">
        <v>4.7</v>
      </c>
    </row>
    <row r="49" spans="1:7" ht="16.5" customHeight="1" x14ac:dyDescent="0.3">
      <c r="A49" s="61">
        <v>5</v>
      </c>
      <c r="B49" s="62">
        <v>11516164</v>
      </c>
      <c r="C49" s="62">
        <v>6664.8</v>
      </c>
      <c r="D49" s="63">
        <v>1.3</v>
      </c>
      <c r="E49" s="63">
        <v>4.8</v>
      </c>
    </row>
    <row r="50" spans="1:7" ht="16.5" customHeight="1" x14ac:dyDescent="0.3">
      <c r="A50" s="61">
        <v>6</v>
      </c>
      <c r="B50" s="65">
        <v>11504785</v>
      </c>
      <c r="C50" s="65">
        <v>6685.7</v>
      </c>
      <c r="D50" s="66">
        <v>1.3</v>
      </c>
      <c r="E50" s="66">
        <v>4.8</v>
      </c>
    </row>
    <row r="51" spans="1:7" ht="16.5" customHeight="1" x14ac:dyDescent="0.3">
      <c r="A51" s="67" t="s">
        <v>18</v>
      </c>
      <c r="B51" s="68">
        <f>AVERAGE(B45:B50)</f>
        <v>11548230.5</v>
      </c>
      <c r="C51" s="69">
        <f>AVERAGE(C45:C50)</f>
        <v>6692.5999999999995</v>
      </c>
      <c r="D51" s="70">
        <f>AVERAGE(D45:D50)</f>
        <v>1.3</v>
      </c>
      <c r="E51" s="70">
        <f>AVERAGE(E45:E50)</f>
        <v>4.7333333333333334</v>
      </c>
    </row>
    <row r="52" spans="1:7" ht="16.5" customHeight="1" x14ac:dyDescent="0.3">
      <c r="A52" s="71" t="s">
        <v>19</v>
      </c>
      <c r="B52" s="72">
        <f>(STDEV(B45:B50)/B51)</f>
        <v>3.9535293404333776E-3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25" t="s">
        <v>25</v>
      </c>
      <c r="C59" s="425"/>
      <c r="E59" s="86" t="s">
        <v>26</v>
      </c>
      <c r="F59" s="87"/>
      <c r="G59" s="86" t="s">
        <v>27</v>
      </c>
    </row>
    <row r="60" spans="1:7" ht="15" customHeight="1" x14ac:dyDescent="0.3">
      <c r="A60" s="88" t="s">
        <v>28</v>
      </c>
      <c r="B60" s="89"/>
      <c r="C60" s="89"/>
      <c r="E60" s="89"/>
      <c r="G60" s="89"/>
    </row>
    <row r="61" spans="1:7" ht="15" customHeight="1" x14ac:dyDescent="0.3">
      <c r="A61" s="88" t="s">
        <v>29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30</v>
      </c>
      <c r="B11" s="430"/>
      <c r="C11" s="430"/>
      <c r="D11" s="430"/>
      <c r="E11" s="430"/>
      <c r="F11" s="431"/>
      <c r="G11" s="41"/>
    </row>
    <row r="12" spans="1:7" ht="16.5" customHeight="1" x14ac:dyDescent="0.3">
      <c r="A12" s="428" t="s">
        <v>31</v>
      </c>
      <c r="B12" s="428"/>
      <c r="C12" s="428"/>
      <c r="D12" s="428"/>
      <c r="E12" s="428"/>
      <c r="F12" s="428"/>
      <c r="G12" s="40"/>
    </row>
    <row r="14" spans="1:7" ht="16.5" customHeight="1" x14ac:dyDescent="0.3">
      <c r="A14" s="433" t="s">
        <v>32</v>
      </c>
      <c r="B14" s="433"/>
      <c r="C14" s="10" t="s">
        <v>5</v>
      </c>
    </row>
    <row r="15" spans="1:7" ht="16.5" customHeight="1" x14ac:dyDescent="0.3">
      <c r="A15" s="433" t="s">
        <v>33</v>
      </c>
      <c r="B15" s="433"/>
      <c r="C15" s="10" t="s">
        <v>7</v>
      </c>
    </row>
    <row r="16" spans="1:7" ht="16.5" customHeight="1" x14ac:dyDescent="0.3">
      <c r="A16" s="433" t="s">
        <v>34</v>
      </c>
      <c r="B16" s="433"/>
      <c r="C16" s="10" t="s">
        <v>9</v>
      </c>
    </row>
    <row r="17" spans="1:5" ht="16.5" customHeight="1" x14ac:dyDescent="0.3">
      <c r="A17" s="433" t="s">
        <v>35</v>
      </c>
      <c r="B17" s="433"/>
      <c r="C17" s="10" t="s">
        <v>11</v>
      </c>
    </row>
    <row r="18" spans="1:5" ht="16.5" customHeight="1" x14ac:dyDescent="0.3">
      <c r="A18" s="433" t="s">
        <v>36</v>
      </c>
      <c r="B18" s="433"/>
      <c r="C18" s="47" t="s">
        <v>12</v>
      </c>
    </row>
    <row r="19" spans="1:5" ht="16.5" customHeight="1" x14ac:dyDescent="0.3">
      <c r="A19" s="433" t="s">
        <v>37</v>
      </c>
      <c r="B19" s="433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428" t="s">
        <v>1</v>
      </c>
      <c r="B21" s="428"/>
      <c r="C21" s="9" t="s">
        <v>38</v>
      </c>
      <c r="D21" s="16"/>
    </row>
    <row r="22" spans="1:5" ht="15.75" customHeight="1" x14ac:dyDescent="0.3">
      <c r="A22" s="432"/>
      <c r="B22" s="432"/>
      <c r="C22" s="7"/>
      <c r="D22" s="432"/>
      <c r="E22" s="432"/>
    </row>
    <row r="23" spans="1:5" ht="33.75" customHeight="1" x14ac:dyDescent="0.3">
      <c r="C23" s="36" t="s">
        <v>39</v>
      </c>
      <c r="D23" s="35" t="s">
        <v>40</v>
      </c>
      <c r="E23" s="2"/>
    </row>
    <row r="24" spans="1:5" ht="15.75" customHeight="1" x14ac:dyDescent="0.3">
      <c r="C24" s="45">
        <v>1035.8399999999999</v>
      </c>
      <c r="D24" s="37">
        <f t="shared" ref="D24:D43" si="0">(C24-$C$46)/$C$46</f>
        <v>-7.5009449839679001E-3</v>
      </c>
      <c r="E24" s="3"/>
    </row>
    <row r="25" spans="1:5" ht="15.75" customHeight="1" x14ac:dyDescent="0.3">
      <c r="C25" s="45">
        <v>1053.46</v>
      </c>
      <c r="D25" s="38">
        <f t="shared" si="0"/>
        <v>9.3818104120224118E-3</v>
      </c>
      <c r="E25" s="3"/>
    </row>
    <row r="26" spans="1:5" ht="15.75" customHeight="1" x14ac:dyDescent="0.3">
      <c r="C26" s="45">
        <v>1046.93</v>
      </c>
      <c r="D26" s="38">
        <f t="shared" si="0"/>
        <v>3.1250344338262974E-3</v>
      </c>
      <c r="E26" s="3"/>
    </row>
    <row r="27" spans="1:5" ht="15.75" customHeight="1" x14ac:dyDescent="0.3">
      <c r="C27" s="45">
        <v>1046.0899999999999</v>
      </c>
      <c r="D27" s="38">
        <f t="shared" si="0"/>
        <v>2.320181168637068E-3</v>
      </c>
      <c r="E27" s="3"/>
    </row>
    <row r="28" spans="1:5" ht="15.75" customHeight="1" x14ac:dyDescent="0.3">
      <c r="C28" s="45">
        <v>1032.8599999999999</v>
      </c>
      <c r="D28" s="38">
        <f t="shared" si="0"/>
        <v>-1.0356257758091118E-2</v>
      </c>
      <c r="E28" s="3"/>
    </row>
    <row r="29" spans="1:5" ht="15.75" customHeight="1" x14ac:dyDescent="0.3">
      <c r="C29" s="45">
        <v>1034.8399999999999</v>
      </c>
      <c r="D29" s="38">
        <f t="shared" si="0"/>
        <v>-8.4591036330025314E-3</v>
      </c>
      <c r="E29" s="3"/>
    </row>
    <row r="30" spans="1:5" ht="15.75" customHeight="1" x14ac:dyDescent="0.3">
      <c r="C30" s="45">
        <v>1041.69</v>
      </c>
      <c r="D30" s="38">
        <f t="shared" si="0"/>
        <v>-1.8957168871151777E-3</v>
      </c>
      <c r="E30" s="3"/>
    </row>
    <row r="31" spans="1:5" ht="15.75" customHeight="1" x14ac:dyDescent="0.3">
      <c r="C31" s="45">
        <v>1033.5</v>
      </c>
      <c r="D31" s="38">
        <f t="shared" si="0"/>
        <v>-9.7430362227088584E-3</v>
      </c>
      <c r="E31" s="3"/>
    </row>
    <row r="32" spans="1:5" ht="15.75" customHeight="1" x14ac:dyDescent="0.3">
      <c r="C32" s="45">
        <v>1047.7</v>
      </c>
      <c r="D32" s="38">
        <f t="shared" si="0"/>
        <v>3.8628165935829456E-3</v>
      </c>
      <c r="E32" s="3"/>
    </row>
    <row r="33" spans="1:7" ht="15.75" customHeight="1" x14ac:dyDescent="0.3">
      <c r="C33" s="45">
        <v>1043.46</v>
      </c>
      <c r="D33" s="38">
        <f t="shared" si="0"/>
        <v>-1.9977607832389834E-4</v>
      </c>
      <c r="E33" s="3"/>
    </row>
    <row r="34" spans="1:7" ht="15.75" customHeight="1" x14ac:dyDescent="0.3">
      <c r="C34" s="45">
        <v>1058.92</v>
      </c>
      <c r="D34" s="38">
        <f t="shared" si="0"/>
        <v>1.4613356635751532E-2</v>
      </c>
      <c r="E34" s="3"/>
    </row>
    <row r="35" spans="1:7" ht="15.75" customHeight="1" x14ac:dyDescent="0.3">
      <c r="C35" s="45">
        <v>1040.6500000000001</v>
      </c>
      <c r="D35" s="38">
        <f t="shared" si="0"/>
        <v>-2.8922018821111594E-3</v>
      </c>
      <c r="E35" s="3"/>
    </row>
    <row r="36" spans="1:7" ht="15.75" customHeight="1" x14ac:dyDescent="0.3">
      <c r="C36" s="45">
        <v>1046.54</v>
      </c>
      <c r="D36" s="38">
        <f t="shared" si="0"/>
        <v>2.7513525607026955E-3</v>
      </c>
      <c r="E36" s="3"/>
    </row>
    <row r="37" spans="1:7" ht="15.75" customHeight="1" x14ac:dyDescent="0.3">
      <c r="C37" s="45">
        <v>1050.54</v>
      </c>
      <c r="D37" s="38">
        <f t="shared" si="0"/>
        <v>6.5839871568412192E-3</v>
      </c>
      <c r="E37" s="3"/>
    </row>
    <row r="38" spans="1:7" ht="15.75" customHeight="1" x14ac:dyDescent="0.3">
      <c r="C38" s="45">
        <v>1038.8699999999999</v>
      </c>
      <c r="D38" s="38">
        <f t="shared" si="0"/>
        <v>-4.5977242773929941E-3</v>
      </c>
      <c r="E38" s="3"/>
    </row>
    <row r="39" spans="1:7" ht="15.75" customHeight="1" x14ac:dyDescent="0.3">
      <c r="C39" s="45">
        <v>1044.97</v>
      </c>
      <c r="D39" s="38">
        <f t="shared" si="0"/>
        <v>1.2470434817183859E-3</v>
      </c>
      <c r="E39" s="3"/>
    </row>
    <row r="40" spans="1:7" ht="15.75" customHeight="1" x14ac:dyDescent="0.3">
      <c r="C40" s="45">
        <v>1040.43</v>
      </c>
      <c r="D40" s="38">
        <f t="shared" si="0"/>
        <v>-3.1029967848988042E-3</v>
      </c>
      <c r="E40" s="3"/>
    </row>
    <row r="41" spans="1:7" ht="15.75" customHeight="1" x14ac:dyDescent="0.3">
      <c r="C41" s="45">
        <v>1049.18</v>
      </c>
      <c r="D41" s="38">
        <f t="shared" si="0"/>
        <v>5.2808913941542173E-3</v>
      </c>
      <c r="E41" s="3"/>
    </row>
    <row r="42" spans="1:7" ht="15.75" customHeight="1" x14ac:dyDescent="0.3">
      <c r="C42" s="45">
        <v>1046.25</v>
      </c>
      <c r="D42" s="38">
        <f t="shared" si="0"/>
        <v>2.4734865524826872E-3</v>
      </c>
      <c r="E42" s="3"/>
    </row>
    <row r="43" spans="1:7" ht="16.5" customHeight="1" x14ac:dyDescent="0.3">
      <c r="C43" s="46">
        <v>1040.6500000000001</v>
      </c>
      <c r="D43" s="39">
        <f t="shared" si="0"/>
        <v>-2.8922018821111594E-3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41</v>
      </c>
      <c r="C45" s="33">
        <f>SUM(C24:C44)</f>
        <v>20873.370000000006</v>
      </c>
      <c r="D45" s="28"/>
      <c r="E45" s="4"/>
    </row>
    <row r="46" spans="1:7" ht="17.25" customHeight="1" x14ac:dyDescent="0.3">
      <c r="B46" s="32" t="s">
        <v>42</v>
      </c>
      <c r="C46" s="34">
        <f>AVERAGE(C24:C44)</f>
        <v>1043.6685000000002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42</v>
      </c>
      <c r="C48" s="35" t="s">
        <v>43</v>
      </c>
      <c r="D48" s="30"/>
      <c r="G48" s="8"/>
    </row>
    <row r="49" spans="1:6" ht="17.25" customHeight="1" x14ac:dyDescent="0.3">
      <c r="B49" s="426">
        <f>C46</f>
        <v>1043.6685000000002</v>
      </c>
      <c r="C49" s="43">
        <f>-IF(C46&lt;=80,10%,IF(C46&lt;250,7.5%,5%))</f>
        <v>-0.05</v>
      </c>
      <c r="D49" s="31">
        <f>IF(C46&lt;=80,C46*0.9,IF(C46&lt;250,C46*0.925,C46*0.95))</f>
        <v>991.48507500000017</v>
      </c>
    </row>
    <row r="50" spans="1:6" ht="17.25" customHeight="1" x14ac:dyDescent="0.3">
      <c r="B50" s="427"/>
      <c r="C50" s="44">
        <f>IF(C46&lt;=80, 10%, IF(C46&lt;250, 7.5%, 5%))</f>
        <v>0.05</v>
      </c>
      <c r="D50" s="31">
        <f>IF(C46&lt;=80, C46*1.1, IF(C46&lt;250, C46*1.075, C46*1.05))</f>
        <v>1095.8519250000004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25</v>
      </c>
      <c r="C52" s="17"/>
      <c r="D52" s="18" t="s">
        <v>26</v>
      </c>
      <c r="E52" s="19"/>
      <c r="F52" s="18" t="s">
        <v>27</v>
      </c>
    </row>
    <row r="53" spans="1:6" ht="34.5" customHeight="1" x14ac:dyDescent="0.3">
      <c r="A53" s="20" t="s">
        <v>28</v>
      </c>
      <c r="B53" s="21"/>
      <c r="C53" s="22"/>
      <c r="D53" s="21"/>
      <c r="E53" s="11"/>
      <c r="F53" s="23"/>
    </row>
    <row r="54" spans="1:6" ht="34.5" customHeight="1" x14ac:dyDescent="0.3">
      <c r="A54" s="20" t="s">
        <v>29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100" zoomScale="60" zoomScaleNormal="40" zoomScalePageLayoutView="55" workbookViewId="0">
      <selection activeCell="G114" sqref="G114"/>
    </sheetView>
  </sheetViews>
  <sheetFormatPr defaultColWidth="9.140625" defaultRowHeight="13.5" x14ac:dyDescent="0.25"/>
  <cols>
    <col min="1" max="1" width="55.42578125" style="92" customWidth="1"/>
    <col min="2" max="2" width="33.7109375" style="92" customWidth="1"/>
    <col min="3" max="3" width="42.28515625" style="92" customWidth="1"/>
    <col min="4" max="4" width="30.5703125" style="92" customWidth="1"/>
    <col min="5" max="5" width="39.85546875" style="92" customWidth="1"/>
    <col min="6" max="6" width="30.7109375" style="92" customWidth="1"/>
    <col min="7" max="7" width="39.85546875" style="92" customWidth="1"/>
    <col min="8" max="8" width="30" style="92" customWidth="1"/>
    <col min="9" max="9" width="30.28515625" style="92" hidden="1" customWidth="1"/>
    <col min="10" max="10" width="30.42578125" style="92" customWidth="1"/>
    <col min="11" max="11" width="21.28515625" style="92" customWidth="1"/>
    <col min="12" max="12" width="9.140625" style="92"/>
    <col min="13" max="16384" width="9.140625" style="94"/>
  </cols>
  <sheetData>
    <row r="1" spans="1:9" ht="18.75" customHeight="1" x14ac:dyDescent="0.25">
      <c r="A1" s="467" t="s">
        <v>44</v>
      </c>
      <c r="B1" s="467"/>
      <c r="C1" s="467"/>
      <c r="D1" s="467"/>
      <c r="E1" s="467"/>
      <c r="F1" s="467"/>
      <c r="G1" s="467"/>
      <c r="H1" s="467"/>
      <c r="I1" s="467"/>
    </row>
    <row r="2" spans="1:9" ht="18.7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</row>
    <row r="3" spans="1:9" ht="18.75" customHeight="1" x14ac:dyDescent="0.25">
      <c r="A3" s="467"/>
      <c r="B3" s="467"/>
      <c r="C3" s="467"/>
      <c r="D3" s="467"/>
      <c r="E3" s="467"/>
      <c r="F3" s="467"/>
      <c r="G3" s="467"/>
      <c r="H3" s="467"/>
      <c r="I3" s="467"/>
    </row>
    <row r="4" spans="1:9" ht="18.75" customHeight="1" x14ac:dyDescent="0.25">
      <c r="A4" s="467"/>
      <c r="B4" s="467"/>
      <c r="C4" s="467"/>
      <c r="D4" s="467"/>
      <c r="E4" s="467"/>
      <c r="F4" s="467"/>
      <c r="G4" s="467"/>
      <c r="H4" s="467"/>
      <c r="I4" s="467"/>
    </row>
    <row r="5" spans="1:9" ht="18.75" customHeight="1" x14ac:dyDescent="0.25">
      <c r="A5" s="467"/>
      <c r="B5" s="467"/>
      <c r="C5" s="467"/>
      <c r="D5" s="467"/>
      <c r="E5" s="467"/>
      <c r="F5" s="467"/>
      <c r="G5" s="467"/>
      <c r="H5" s="467"/>
      <c r="I5" s="467"/>
    </row>
    <row r="6" spans="1:9" ht="18.75" customHeight="1" x14ac:dyDescent="0.25">
      <c r="A6" s="467"/>
      <c r="B6" s="467"/>
      <c r="C6" s="467"/>
      <c r="D6" s="467"/>
      <c r="E6" s="467"/>
      <c r="F6" s="467"/>
      <c r="G6" s="467"/>
      <c r="H6" s="467"/>
      <c r="I6" s="467"/>
    </row>
    <row r="7" spans="1:9" ht="18.75" customHeight="1" x14ac:dyDescent="0.25">
      <c r="A7" s="467"/>
      <c r="B7" s="467"/>
      <c r="C7" s="467"/>
      <c r="D7" s="467"/>
      <c r="E7" s="467"/>
      <c r="F7" s="467"/>
      <c r="G7" s="467"/>
      <c r="H7" s="467"/>
      <c r="I7" s="467"/>
    </row>
    <row r="8" spans="1:9" x14ac:dyDescent="0.25">
      <c r="A8" s="468" t="s">
        <v>45</v>
      </c>
      <c r="B8" s="468"/>
      <c r="C8" s="468"/>
      <c r="D8" s="468"/>
      <c r="E8" s="468"/>
      <c r="F8" s="468"/>
      <c r="G8" s="468"/>
      <c r="H8" s="468"/>
      <c r="I8" s="468"/>
    </row>
    <row r="9" spans="1:9" x14ac:dyDescent="0.25">
      <c r="A9" s="468"/>
      <c r="B9" s="468"/>
      <c r="C9" s="468"/>
      <c r="D9" s="468"/>
      <c r="E9" s="468"/>
      <c r="F9" s="468"/>
      <c r="G9" s="468"/>
      <c r="H9" s="468"/>
      <c r="I9" s="468"/>
    </row>
    <row r="10" spans="1:9" x14ac:dyDescent="0.25">
      <c r="A10" s="468"/>
      <c r="B10" s="468"/>
      <c r="C10" s="468"/>
      <c r="D10" s="468"/>
      <c r="E10" s="468"/>
      <c r="F10" s="468"/>
      <c r="G10" s="468"/>
      <c r="H10" s="468"/>
      <c r="I10" s="468"/>
    </row>
    <row r="11" spans="1:9" x14ac:dyDescent="0.25">
      <c r="A11" s="468"/>
      <c r="B11" s="468"/>
      <c r="C11" s="468"/>
      <c r="D11" s="468"/>
      <c r="E11" s="468"/>
      <c r="F11" s="468"/>
      <c r="G11" s="468"/>
      <c r="H11" s="468"/>
      <c r="I11" s="468"/>
    </row>
    <row r="12" spans="1:9" x14ac:dyDescent="0.25">
      <c r="A12" s="468"/>
      <c r="B12" s="468"/>
      <c r="C12" s="468"/>
      <c r="D12" s="468"/>
      <c r="E12" s="468"/>
      <c r="F12" s="468"/>
      <c r="G12" s="468"/>
      <c r="H12" s="468"/>
      <c r="I12" s="468"/>
    </row>
    <row r="13" spans="1:9" x14ac:dyDescent="0.25">
      <c r="A13" s="468"/>
      <c r="B13" s="468"/>
      <c r="C13" s="468"/>
      <c r="D13" s="468"/>
      <c r="E13" s="468"/>
      <c r="F13" s="468"/>
      <c r="G13" s="468"/>
      <c r="H13" s="468"/>
      <c r="I13" s="468"/>
    </row>
    <row r="14" spans="1:9" x14ac:dyDescent="0.25">
      <c r="A14" s="468"/>
      <c r="B14" s="468"/>
      <c r="C14" s="468"/>
      <c r="D14" s="468"/>
      <c r="E14" s="468"/>
      <c r="F14" s="468"/>
      <c r="G14" s="468"/>
      <c r="H14" s="468"/>
      <c r="I14" s="468"/>
    </row>
    <row r="15" spans="1:9" ht="19.5" customHeight="1" thickBot="1" x14ac:dyDescent="0.35">
      <c r="A15" s="93"/>
    </row>
    <row r="16" spans="1:9" ht="19.5" customHeight="1" thickBot="1" x14ac:dyDescent="0.35">
      <c r="A16" s="469" t="s">
        <v>30</v>
      </c>
      <c r="B16" s="470"/>
      <c r="C16" s="470"/>
      <c r="D16" s="470"/>
      <c r="E16" s="470"/>
      <c r="F16" s="470"/>
      <c r="G16" s="470"/>
      <c r="H16" s="471"/>
    </row>
    <row r="17" spans="1:14" ht="20.25" customHeight="1" x14ac:dyDescent="0.25">
      <c r="A17" s="472" t="s">
        <v>46</v>
      </c>
      <c r="B17" s="472"/>
      <c r="C17" s="472"/>
      <c r="D17" s="472"/>
      <c r="E17" s="472"/>
      <c r="F17" s="472"/>
      <c r="G17" s="472"/>
      <c r="H17" s="472"/>
    </row>
    <row r="18" spans="1:14" ht="26.25" customHeight="1" x14ac:dyDescent="0.4">
      <c r="A18" s="95" t="s">
        <v>32</v>
      </c>
      <c r="B18" s="465" t="s">
        <v>5</v>
      </c>
      <c r="C18" s="465"/>
      <c r="D18" s="96"/>
      <c r="E18" s="97"/>
      <c r="F18" s="98"/>
      <c r="G18" s="98"/>
      <c r="H18" s="98"/>
    </row>
    <row r="19" spans="1:14" ht="26.25" customHeight="1" x14ac:dyDescent="0.4">
      <c r="A19" s="95" t="s">
        <v>33</v>
      </c>
      <c r="B19" s="99" t="s">
        <v>7</v>
      </c>
      <c r="C19" s="98">
        <v>29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34</v>
      </c>
      <c r="B20" s="464" t="s">
        <v>126</v>
      </c>
      <c r="C20" s="464"/>
      <c r="D20" s="98"/>
      <c r="E20" s="98"/>
      <c r="F20" s="98"/>
      <c r="G20" s="98"/>
      <c r="H20" s="98"/>
    </row>
    <row r="21" spans="1:14" ht="26.25" customHeight="1" x14ac:dyDescent="0.4">
      <c r="A21" s="95" t="s">
        <v>35</v>
      </c>
      <c r="B21" s="464" t="s">
        <v>11</v>
      </c>
      <c r="C21" s="464"/>
      <c r="D21" s="464"/>
      <c r="E21" s="464"/>
      <c r="F21" s="464"/>
      <c r="G21" s="464"/>
      <c r="H21" s="464"/>
      <c r="I21" s="100"/>
    </row>
    <row r="22" spans="1:14" ht="26.25" customHeight="1" x14ac:dyDescent="0.4">
      <c r="A22" s="95" t="s">
        <v>36</v>
      </c>
      <c r="B22" s="101" t="s">
        <v>127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37</v>
      </c>
      <c r="B23" s="101"/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465" t="s">
        <v>128</v>
      </c>
      <c r="C26" s="465"/>
    </row>
    <row r="27" spans="1:14" ht="26.25" customHeight="1" x14ac:dyDescent="0.4">
      <c r="A27" s="105" t="s">
        <v>47</v>
      </c>
      <c r="B27" s="466" t="s">
        <v>129</v>
      </c>
      <c r="C27" s="466"/>
    </row>
    <row r="28" spans="1:14" ht="27" customHeight="1" thickBot="1" x14ac:dyDescent="0.45">
      <c r="A28" s="105" t="s">
        <v>6</v>
      </c>
      <c r="B28" s="106">
        <v>99.9</v>
      </c>
    </row>
    <row r="29" spans="1:14" s="108" customFormat="1" ht="27" customHeight="1" thickBot="1" x14ac:dyDescent="0.45">
      <c r="A29" s="105" t="s">
        <v>48</v>
      </c>
      <c r="B29" s="107">
        <v>0</v>
      </c>
      <c r="C29" s="444" t="s">
        <v>49</v>
      </c>
      <c r="D29" s="445"/>
      <c r="E29" s="445"/>
      <c r="F29" s="445"/>
      <c r="G29" s="446"/>
      <c r="I29" s="109"/>
      <c r="J29" s="109"/>
      <c r="K29" s="109"/>
      <c r="L29" s="109"/>
    </row>
    <row r="30" spans="1:14" s="108" customFormat="1" ht="19.5" customHeight="1" thickBot="1" x14ac:dyDescent="0.35">
      <c r="A30" s="105" t="s">
        <v>50</v>
      </c>
      <c r="B30" s="110">
        <f>B28-B29</f>
        <v>99.9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08" customFormat="1" ht="27" customHeight="1" thickBot="1" x14ac:dyDescent="0.45">
      <c r="A31" s="105" t="s">
        <v>51</v>
      </c>
      <c r="B31" s="113">
        <v>1</v>
      </c>
      <c r="C31" s="447" t="s">
        <v>52</v>
      </c>
      <c r="D31" s="448"/>
      <c r="E31" s="448"/>
      <c r="F31" s="448"/>
      <c r="G31" s="448"/>
      <c r="H31" s="449"/>
      <c r="I31" s="109"/>
      <c r="J31" s="109"/>
      <c r="K31" s="109"/>
      <c r="L31" s="109"/>
    </row>
    <row r="32" spans="1:14" s="108" customFormat="1" ht="27" customHeight="1" thickBot="1" x14ac:dyDescent="0.45">
      <c r="A32" s="105" t="s">
        <v>53</v>
      </c>
      <c r="B32" s="113">
        <v>1</v>
      </c>
      <c r="C32" s="447" t="s">
        <v>54</v>
      </c>
      <c r="D32" s="448"/>
      <c r="E32" s="448"/>
      <c r="F32" s="448"/>
      <c r="G32" s="448"/>
      <c r="H32" s="449"/>
      <c r="I32" s="109"/>
      <c r="J32" s="109"/>
      <c r="K32" s="109"/>
      <c r="L32" s="114"/>
      <c r="M32" s="114"/>
      <c r="N32" s="115"/>
    </row>
    <row r="33" spans="1:14" s="108" customFormat="1" ht="17.25" customHeight="1" x14ac:dyDescent="0.3">
      <c r="A33" s="105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08" customFormat="1" ht="18.75" x14ac:dyDescent="0.3">
      <c r="A34" s="105" t="s">
        <v>55</v>
      </c>
      <c r="B34" s="118">
        <f>B31/B32</f>
        <v>1</v>
      </c>
      <c r="C34" s="93" t="s">
        <v>56</v>
      </c>
      <c r="D34" s="93"/>
      <c r="E34" s="93"/>
      <c r="F34" s="93"/>
      <c r="G34" s="93"/>
      <c r="I34" s="109"/>
      <c r="J34" s="109"/>
      <c r="K34" s="109"/>
      <c r="L34" s="114"/>
      <c r="M34" s="114"/>
      <c r="N34" s="115"/>
    </row>
    <row r="35" spans="1:14" s="108" customFormat="1" ht="19.5" customHeight="1" thickBot="1" x14ac:dyDescent="0.35">
      <c r="A35" s="105"/>
      <c r="B35" s="110"/>
      <c r="G35" s="93"/>
      <c r="I35" s="109"/>
      <c r="J35" s="109"/>
      <c r="K35" s="109"/>
      <c r="L35" s="114"/>
      <c r="M35" s="114"/>
      <c r="N35" s="115"/>
    </row>
    <row r="36" spans="1:14" s="108" customFormat="1" ht="27" customHeight="1" thickBot="1" x14ac:dyDescent="0.45">
      <c r="A36" s="119" t="s">
        <v>57</v>
      </c>
      <c r="B36" s="120">
        <v>25</v>
      </c>
      <c r="C36" s="93"/>
      <c r="D36" s="450" t="s">
        <v>58</v>
      </c>
      <c r="E36" s="463"/>
      <c r="F36" s="450" t="s">
        <v>59</v>
      </c>
      <c r="G36" s="451"/>
      <c r="J36" s="109"/>
      <c r="K36" s="109"/>
      <c r="L36" s="114"/>
      <c r="M36" s="114"/>
      <c r="N36" s="115"/>
    </row>
    <row r="37" spans="1:14" s="108" customFormat="1" ht="27" customHeight="1" thickBot="1" x14ac:dyDescent="0.45">
      <c r="A37" s="121" t="s">
        <v>60</v>
      </c>
      <c r="B37" s="122">
        <v>5</v>
      </c>
      <c r="C37" s="123" t="s">
        <v>61</v>
      </c>
      <c r="D37" s="124" t="s">
        <v>62</v>
      </c>
      <c r="E37" s="125" t="s">
        <v>63</v>
      </c>
      <c r="F37" s="124" t="s">
        <v>62</v>
      </c>
      <c r="G37" s="126" t="s">
        <v>63</v>
      </c>
      <c r="I37" s="127" t="s">
        <v>64</v>
      </c>
      <c r="J37" s="109"/>
      <c r="K37" s="109"/>
      <c r="L37" s="114"/>
      <c r="M37" s="114"/>
      <c r="N37" s="115"/>
    </row>
    <row r="38" spans="1:14" s="108" customFormat="1" ht="26.25" customHeight="1" x14ac:dyDescent="0.4">
      <c r="A38" s="121" t="s">
        <v>65</v>
      </c>
      <c r="B38" s="122">
        <v>25</v>
      </c>
      <c r="C38" s="128">
        <v>1</v>
      </c>
      <c r="D38" s="129">
        <v>156319588</v>
      </c>
      <c r="E38" s="130">
        <f>IF(ISBLANK(D38),"-",$D$48/$D$45*D38)</f>
        <v>152436496.89631179</v>
      </c>
      <c r="F38" s="129">
        <v>161209651</v>
      </c>
      <c r="G38" s="131">
        <f>IF(ISBLANK(F38),"-",$D$48/$F$45*F38)</f>
        <v>155313784.4292801</v>
      </c>
      <c r="I38" s="132"/>
      <c r="J38" s="109"/>
      <c r="K38" s="109"/>
      <c r="L38" s="114"/>
      <c r="M38" s="114"/>
      <c r="N38" s="115"/>
    </row>
    <row r="39" spans="1:14" s="108" customFormat="1" ht="26.25" customHeight="1" x14ac:dyDescent="0.4">
      <c r="A39" s="121" t="s">
        <v>66</v>
      </c>
      <c r="B39" s="122">
        <v>1</v>
      </c>
      <c r="C39" s="133">
        <v>2</v>
      </c>
      <c r="D39" s="134">
        <v>156369576</v>
      </c>
      <c r="E39" s="135">
        <f>IF(ISBLANK(D39),"-",$D$48/$D$45*D39)</f>
        <v>152485243.15840438</v>
      </c>
      <c r="F39" s="134">
        <v>161404238</v>
      </c>
      <c r="G39" s="136">
        <f>IF(ISBLANK(F39),"-",$D$48/$F$45*F39)</f>
        <v>155501254.86410376</v>
      </c>
      <c r="I39" s="434">
        <f>ABS((F43/D43*D42)-F42)/D42</f>
        <v>1.9455461024272355E-2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67</v>
      </c>
      <c r="B40" s="122">
        <v>1</v>
      </c>
      <c r="C40" s="133">
        <v>3</v>
      </c>
      <c r="D40" s="134">
        <v>156497300</v>
      </c>
      <c r="E40" s="135">
        <f>IF(ISBLANK(D40),"-",$D$48/$D$45*D40)</f>
        <v>152609794.40229318</v>
      </c>
      <c r="F40" s="134">
        <v>161414239</v>
      </c>
      <c r="G40" s="136">
        <f>IF(ISBLANK(F40),"-",$D$48/$F$45*F40)</f>
        <v>155510890.10088047</v>
      </c>
      <c r="I40" s="434"/>
      <c r="L40" s="114"/>
      <c r="M40" s="114"/>
      <c r="N40" s="93"/>
    </row>
    <row r="41" spans="1:14" ht="27" customHeight="1" thickBot="1" x14ac:dyDescent="0.45">
      <c r="A41" s="121" t="s">
        <v>68</v>
      </c>
      <c r="B41" s="122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4"/>
      <c r="M41" s="114"/>
      <c r="N41" s="93"/>
    </row>
    <row r="42" spans="1:14" ht="27" customHeight="1" thickBot="1" x14ac:dyDescent="0.45">
      <c r="A42" s="121" t="s">
        <v>69</v>
      </c>
      <c r="B42" s="122">
        <v>1</v>
      </c>
      <c r="C42" s="142" t="s">
        <v>70</v>
      </c>
      <c r="D42" s="143">
        <f>AVERAGE(D38:D41)</f>
        <v>156395488</v>
      </c>
      <c r="E42" s="144">
        <f>AVERAGE(E38:E41)</f>
        <v>152510511.48566976</v>
      </c>
      <c r="F42" s="143">
        <f>AVERAGE(F38:F41)</f>
        <v>161342709.33333334</v>
      </c>
      <c r="G42" s="145">
        <f>AVERAGE(G38:G41)</f>
        <v>155441976.46475479</v>
      </c>
      <c r="H42" s="146"/>
    </row>
    <row r="43" spans="1:14" ht="26.25" customHeight="1" x14ac:dyDescent="0.4">
      <c r="A43" s="121" t="s">
        <v>71</v>
      </c>
      <c r="B43" s="122">
        <v>1</v>
      </c>
      <c r="C43" s="147" t="s">
        <v>72</v>
      </c>
      <c r="D43" s="148">
        <v>20.53</v>
      </c>
      <c r="E43" s="93"/>
      <c r="F43" s="148">
        <v>20.78</v>
      </c>
      <c r="H43" s="146"/>
    </row>
    <row r="44" spans="1:14" ht="26.25" customHeight="1" x14ac:dyDescent="0.4">
      <c r="A44" s="121" t="s">
        <v>73</v>
      </c>
      <c r="B44" s="122">
        <v>1</v>
      </c>
      <c r="C44" s="149" t="s">
        <v>74</v>
      </c>
      <c r="D44" s="150">
        <f>D43*$B$34</f>
        <v>20.53</v>
      </c>
      <c r="E44" s="151"/>
      <c r="F44" s="150">
        <f>F43*$B$34</f>
        <v>20.78</v>
      </c>
      <c r="H44" s="146"/>
    </row>
    <row r="45" spans="1:14" ht="19.5" customHeight="1" thickBot="1" x14ac:dyDescent="0.35">
      <c r="A45" s="121" t="s">
        <v>75</v>
      </c>
      <c r="B45" s="133">
        <f>(B44/B43)*(B42/B41)*(B40/B39)*(B38/B37)*B36</f>
        <v>125</v>
      </c>
      <c r="C45" s="149" t="s">
        <v>76</v>
      </c>
      <c r="D45" s="152">
        <f>D44*$B$30/100</f>
        <v>20.50947</v>
      </c>
      <c r="E45" s="153"/>
      <c r="F45" s="152">
        <f>F44*$B$30/100</f>
        <v>20.759219999999999</v>
      </c>
      <c r="H45" s="146"/>
    </row>
    <row r="46" spans="1:14" ht="19.5" customHeight="1" thickBot="1" x14ac:dyDescent="0.35">
      <c r="A46" s="435" t="s">
        <v>77</v>
      </c>
      <c r="B46" s="439"/>
      <c r="C46" s="149" t="s">
        <v>78</v>
      </c>
      <c r="D46" s="154">
        <f>D45/$B$45</f>
        <v>0.16407576000000001</v>
      </c>
      <c r="E46" s="155"/>
      <c r="F46" s="156">
        <f>F45/$B$45</f>
        <v>0.16607375999999999</v>
      </c>
      <c r="H46" s="146"/>
    </row>
    <row r="47" spans="1:14" ht="27" customHeight="1" thickBot="1" x14ac:dyDescent="0.45">
      <c r="A47" s="437"/>
      <c r="B47" s="440"/>
      <c r="C47" s="157" t="s">
        <v>79</v>
      </c>
      <c r="D47" s="158">
        <v>0.16</v>
      </c>
      <c r="E47" s="159"/>
      <c r="F47" s="155"/>
      <c r="H47" s="146"/>
    </row>
    <row r="48" spans="1:14" ht="18.75" x14ac:dyDescent="0.3">
      <c r="C48" s="160" t="s">
        <v>80</v>
      </c>
      <c r="D48" s="152">
        <f>D47*$B$45</f>
        <v>20</v>
      </c>
      <c r="F48" s="161"/>
      <c r="H48" s="146"/>
    </row>
    <row r="49" spans="1:12" ht="19.5" customHeight="1" thickBot="1" x14ac:dyDescent="0.35">
      <c r="C49" s="162" t="s">
        <v>81</v>
      </c>
      <c r="D49" s="163">
        <f>D48/B34</f>
        <v>20</v>
      </c>
      <c r="F49" s="161"/>
      <c r="H49" s="146"/>
    </row>
    <row r="50" spans="1:12" ht="18.75" x14ac:dyDescent="0.3">
      <c r="C50" s="119" t="s">
        <v>82</v>
      </c>
      <c r="D50" s="164">
        <f>AVERAGE(E38:E41,G38:G41)</f>
        <v>153976243.97521228</v>
      </c>
      <c r="F50" s="165"/>
      <c r="H50" s="146"/>
    </row>
    <row r="51" spans="1:12" ht="18.75" x14ac:dyDescent="0.3">
      <c r="C51" s="121" t="s">
        <v>83</v>
      </c>
      <c r="D51" s="166">
        <f>STDEV(E38:E41,G38:G41)/D50</f>
        <v>1.0444211521140395E-2</v>
      </c>
      <c r="F51" s="165"/>
      <c r="H51" s="146"/>
    </row>
    <row r="52" spans="1:12" ht="19.5" customHeight="1" thickBot="1" x14ac:dyDescent="0.35">
      <c r="C52" s="167" t="s">
        <v>20</v>
      </c>
      <c r="D52" s="168">
        <f>COUNT(E38:E41,G38:G41)</f>
        <v>6</v>
      </c>
      <c r="F52" s="165"/>
    </row>
    <row r="54" spans="1:12" ht="18.75" x14ac:dyDescent="0.3">
      <c r="A54" s="169" t="s">
        <v>1</v>
      </c>
      <c r="B54" s="170" t="s">
        <v>84</v>
      </c>
    </row>
    <row r="55" spans="1:12" ht="18.75" x14ac:dyDescent="0.3">
      <c r="A55" s="93" t="s">
        <v>85</v>
      </c>
      <c r="B55" s="171" t="str">
        <f>B21</f>
        <v>Each tablets contains Trimethoprim B.P 160 mg, Sulfamethoxazole 800 mg</v>
      </c>
    </row>
    <row r="56" spans="1:12" ht="26.25" customHeight="1" x14ac:dyDescent="0.4">
      <c r="A56" s="171" t="s">
        <v>86</v>
      </c>
      <c r="B56" s="172">
        <v>800</v>
      </c>
      <c r="C56" s="93" t="str">
        <f>B20</f>
        <v>Sulfamethoxazole</v>
      </c>
      <c r="H56" s="151"/>
    </row>
    <row r="57" spans="1:12" ht="18.75" x14ac:dyDescent="0.3">
      <c r="A57" s="171" t="s">
        <v>87</v>
      </c>
      <c r="B57" s="173">
        <f>Uniformity!C46</f>
        <v>1043.6685000000002</v>
      </c>
      <c r="H57" s="151"/>
    </row>
    <row r="58" spans="1:12" ht="19.5" customHeight="1" thickBot="1" x14ac:dyDescent="0.35">
      <c r="H58" s="151"/>
    </row>
    <row r="59" spans="1:12" s="108" customFormat="1" ht="27" customHeight="1" thickBot="1" x14ac:dyDescent="0.45">
      <c r="A59" s="119" t="s">
        <v>88</v>
      </c>
      <c r="B59" s="120">
        <v>100</v>
      </c>
      <c r="C59" s="93"/>
      <c r="D59" s="174" t="s">
        <v>89</v>
      </c>
      <c r="E59" s="175" t="s">
        <v>61</v>
      </c>
      <c r="F59" s="175" t="s">
        <v>62</v>
      </c>
      <c r="G59" s="175" t="s">
        <v>90</v>
      </c>
      <c r="H59" s="123" t="s">
        <v>91</v>
      </c>
      <c r="L59" s="109"/>
    </row>
    <row r="60" spans="1:12" s="108" customFormat="1" ht="26.25" customHeight="1" x14ac:dyDescent="0.4">
      <c r="A60" s="121" t="s">
        <v>92</v>
      </c>
      <c r="B60" s="122">
        <v>1</v>
      </c>
      <c r="C60" s="452" t="s">
        <v>93</v>
      </c>
      <c r="D60" s="455">
        <v>1046.6300000000001</v>
      </c>
      <c r="E60" s="176">
        <v>1</v>
      </c>
      <c r="F60" s="177">
        <v>155388452</v>
      </c>
      <c r="G60" s="178">
        <f>IF(ISBLANK(F60),"-",(F60/$D$50*$D$47*$B$68)*($B$57/$D$60))</f>
        <v>805.05287000229362</v>
      </c>
      <c r="H60" s="179">
        <f t="shared" ref="H60:H71" si="0">IF(ISBLANK(F60),"-",G60/$B$56)</f>
        <v>1.0063160875028669</v>
      </c>
      <c r="L60" s="109"/>
    </row>
    <row r="61" spans="1:12" s="108" customFormat="1" ht="26.25" customHeight="1" x14ac:dyDescent="0.4">
      <c r="A61" s="121" t="s">
        <v>94</v>
      </c>
      <c r="B61" s="122">
        <v>50</v>
      </c>
      <c r="C61" s="453"/>
      <c r="D61" s="456"/>
      <c r="E61" s="180">
        <v>2</v>
      </c>
      <c r="F61" s="134">
        <v>155304145</v>
      </c>
      <c r="G61" s="181">
        <f>IF(ISBLANK(F61),"-",(F61/$D$50*$D$47*$B$68)*($B$57/$D$60))</f>
        <v>804.61608341076953</v>
      </c>
      <c r="H61" s="182">
        <f t="shared" si="0"/>
        <v>1.0057701042634619</v>
      </c>
      <c r="L61" s="109"/>
    </row>
    <row r="62" spans="1:12" s="108" customFormat="1" ht="26.25" customHeight="1" x14ac:dyDescent="0.4">
      <c r="A62" s="121" t="s">
        <v>95</v>
      </c>
      <c r="B62" s="122">
        <v>1</v>
      </c>
      <c r="C62" s="453"/>
      <c r="D62" s="456"/>
      <c r="E62" s="180">
        <v>3</v>
      </c>
      <c r="F62" s="183">
        <v>155303200</v>
      </c>
      <c r="G62" s="181">
        <f>IF(ISBLANK(F62),"-",(F62/$D$50*$D$47*$B$68)*($B$57/$D$60))</f>
        <v>804.61118745516683</v>
      </c>
      <c r="H62" s="182">
        <f t="shared" si="0"/>
        <v>1.0057639843189585</v>
      </c>
      <c r="L62" s="109"/>
    </row>
    <row r="63" spans="1:12" ht="27" customHeight="1" thickBot="1" x14ac:dyDescent="0.45">
      <c r="A63" s="121" t="s">
        <v>96</v>
      </c>
      <c r="B63" s="122">
        <v>1</v>
      </c>
      <c r="C63" s="454"/>
      <c r="D63" s="457"/>
      <c r="E63" s="184">
        <v>4</v>
      </c>
      <c r="F63" s="185"/>
      <c r="G63" s="181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1" t="s">
        <v>97</v>
      </c>
      <c r="B64" s="122">
        <v>1</v>
      </c>
      <c r="C64" s="452" t="s">
        <v>98</v>
      </c>
      <c r="D64" s="455">
        <v>1041.79</v>
      </c>
      <c r="E64" s="176">
        <v>1</v>
      </c>
      <c r="F64" s="177">
        <v>158716241</v>
      </c>
      <c r="G64" s="186">
        <f>IF(ISBLANK(F64),"-",(F64/$D$50*$D$47*$B$68)*($B$57/$D$64))</f>
        <v>826.11408373479856</v>
      </c>
      <c r="H64" s="187">
        <f t="shared" si="0"/>
        <v>1.0326426046684982</v>
      </c>
    </row>
    <row r="65" spans="1:8" ht="26.25" customHeight="1" x14ac:dyDescent="0.4">
      <c r="A65" s="121" t="s">
        <v>99</v>
      </c>
      <c r="B65" s="122">
        <v>1</v>
      </c>
      <c r="C65" s="453"/>
      <c r="D65" s="456"/>
      <c r="E65" s="180">
        <v>2</v>
      </c>
      <c r="F65" s="134">
        <v>158410600</v>
      </c>
      <c r="G65" s="188">
        <f>IF(ISBLANK(F65),"-",(F65/$D$50*$D$47*$B$68)*($B$57/$D$64))</f>
        <v>824.52322993763221</v>
      </c>
      <c r="H65" s="189">
        <f t="shared" si="0"/>
        <v>1.0306540374220403</v>
      </c>
    </row>
    <row r="66" spans="1:8" ht="26.25" customHeight="1" x14ac:dyDescent="0.4">
      <c r="A66" s="121" t="s">
        <v>100</v>
      </c>
      <c r="B66" s="122">
        <v>1</v>
      </c>
      <c r="C66" s="453"/>
      <c r="D66" s="456"/>
      <c r="E66" s="180">
        <v>3</v>
      </c>
      <c r="F66" s="134">
        <v>158446682</v>
      </c>
      <c r="G66" s="188">
        <f>IF(ISBLANK(F66),"-",(F66/$D$50*$D$47*$B$68)*($B$57/$D$64))</f>
        <v>824.7110358495006</v>
      </c>
      <c r="H66" s="189">
        <f t="shared" si="0"/>
        <v>1.0308887948118757</v>
      </c>
    </row>
    <row r="67" spans="1:8" ht="27" customHeight="1" thickBot="1" x14ac:dyDescent="0.45">
      <c r="A67" s="121" t="s">
        <v>101</v>
      </c>
      <c r="B67" s="122">
        <v>1</v>
      </c>
      <c r="C67" s="454"/>
      <c r="D67" s="457"/>
      <c r="E67" s="184">
        <v>4</v>
      </c>
      <c r="F67" s="185"/>
      <c r="G67" s="190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1" t="s">
        <v>102</v>
      </c>
      <c r="B68" s="192">
        <f>(B67/B66)*(B65/B64)*(B63/B62)*(B61/B60)*B59</f>
        <v>5000</v>
      </c>
      <c r="C68" s="452" t="s">
        <v>103</v>
      </c>
      <c r="D68" s="455">
        <v>1043.3</v>
      </c>
      <c r="E68" s="176">
        <v>1</v>
      </c>
      <c r="F68" s="177">
        <v>158376043</v>
      </c>
      <c r="G68" s="186">
        <f>IF(ISBLANK(F68),"-",(F68/$D$50*$D$47*$B$68)*($B$57/$D$68))</f>
        <v>823.15026425247174</v>
      </c>
      <c r="H68" s="182">
        <f t="shared" si="0"/>
        <v>1.0289378303155896</v>
      </c>
    </row>
    <row r="69" spans="1:8" ht="27" customHeight="1" thickBot="1" x14ac:dyDescent="0.45">
      <c r="A69" s="167" t="s">
        <v>104</v>
      </c>
      <c r="B69" s="193">
        <f>(D47*B68)/B56*B57</f>
        <v>1043.6685000000002</v>
      </c>
      <c r="C69" s="453"/>
      <c r="D69" s="456"/>
      <c r="E69" s="180">
        <v>2</v>
      </c>
      <c r="F69" s="134">
        <v>158304052</v>
      </c>
      <c r="G69" s="188">
        <f>IF(ISBLANK(F69),"-",(F69/$D$50*$D$47*$B$68)*($B$57/$D$68))</f>
        <v>822.77609522064529</v>
      </c>
      <c r="H69" s="182">
        <f t="shared" si="0"/>
        <v>1.0284701190258065</v>
      </c>
    </row>
    <row r="70" spans="1:8" ht="26.25" customHeight="1" x14ac:dyDescent="0.4">
      <c r="A70" s="459" t="s">
        <v>77</v>
      </c>
      <c r="B70" s="460"/>
      <c r="C70" s="453"/>
      <c r="D70" s="456"/>
      <c r="E70" s="180">
        <v>3</v>
      </c>
      <c r="F70" s="134">
        <v>158143917</v>
      </c>
      <c r="G70" s="188">
        <f>IF(ISBLANK(F70),"-",(F70/$D$50*$D$47*$B$68)*($B$57/$D$68))</f>
        <v>821.94380287977606</v>
      </c>
      <c r="H70" s="182">
        <f t="shared" si="0"/>
        <v>1.0274297535997201</v>
      </c>
    </row>
    <row r="71" spans="1:8" ht="27" customHeight="1" thickBot="1" x14ac:dyDescent="0.45">
      <c r="A71" s="461"/>
      <c r="B71" s="462"/>
      <c r="C71" s="458"/>
      <c r="D71" s="457"/>
      <c r="E71" s="184">
        <v>4</v>
      </c>
      <c r="F71" s="185"/>
      <c r="G71" s="190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95" t="s">
        <v>70</v>
      </c>
      <c r="G72" s="196">
        <f>AVERAGE(G60:G71)</f>
        <v>817.49985030478388</v>
      </c>
      <c r="H72" s="197">
        <f>AVERAGE(H60:H71)</f>
        <v>1.0218748128809798</v>
      </c>
    </row>
    <row r="73" spans="1:8" ht="26.25" customHeight="1" x14ac:dyDescent="0.4">
      <c r="C73" s="151"/>
      <c r="D73" s="151"/>
      <c r="E73" s="151"/>
      <c r="F73" s="198" t="s">
        <v>83</v>
      </c>
      <c r="G73" s="199">
        <f>STDEV(G60:G71)/G72</f>
        <v>1.1781326403847967E-2</v>
      </c>
      <c r="H73" s="199">
        <f>STDEV(H60:H71)/H72</f>
        <v>1.1781326403847976E-2</v>
      </c>
    </row>
    <row r="74" spans="1:8" ht="27" customHeight="1" thickBot="1" x14ac:dyDescent="0.45">
      <c r="A74" s="151"/>
      <c r="B74" s="151"/>
      <c r="C74" s="151"/>
      <c r="D74" s="151"/>
      <c r="E74" s="153"/>
      <c r="F74" s="200" t="s">
        <v>20</v>
      </c>
      <c r="G74" s="201">
        <f>COUNT(G60:G71)</f>
        <v>9</v>
      </c>
      <c r="H74" s="201">
        <f>COUNT(H60:H71)</f>
        <v>9</v>
      </c>
    </row>
    <row r="76" spans="1:8" ht="26.25" customHeight="1" x14ac:dyDescent="0.4">
      <c r="A76" s="104" t="s">
        <v>105</v>
      </c>
      <c r="B76" s="105" t="s">
        <v>106</v>
      </c>
      <c r="C76" s="441" t="str">
        <f>B20</f>
        <v>Sulfamethoxazole</v>
      </c>
      <c r="D76" s="441"/>
      <c r="E76" s="93" t="s">
        <v>107</v>
      </c>
      <c r="F76" s="93"/>
      <c r="G76" s="202">
        <f>H72</f>
        <v>1.0218748128809798</v>
      </c>
      <c r="H76" s="110"/>
    </row>
    <row r="77" spans="1:8" ht="18.75" x14ac:dyDescent="0.3">
      <c r="A77" s="103" t="s">
        <v>108</v>
      </c>
      <c r="B77" s="103" t="s">
        <v>109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443" t="str">
        <f>B26</f>
        <v>sulfamethoxazole</v>
      </c>
      <c r="C79" s="443"/>
    </row>
    <row r="80" spans="1:8" ht="26.25" customHeight="1" x14ac:dyDescent="0.4">
      <c r="A80" s="105" t="s">
        <v>47</v>
      </c>
      <c r="B80" s="443" t="str">
        <f>B27</f>
        <v>S12 5</v>
      </c>
      <c r="C80" s="443"/>
    </row>
    <row r="81" spans="1:12" ht="27" customHeight="1" thickBot="1" x14ac:dyDescent="0.45">
      <c r="A81" s="105" t="s">
        <v>6</v>
      </c>
      <c r="B81" s="106">
        <f>B28</f>
        <v>99.9</v>
      </c>
    </row>
    <row r="82" spans="1:12" s="108" customFormat="1" ht="27" customHeight="1" thickBot="1" x14ac:dyDescent="0.45">
      <c r="A82" s="105" t="s">
        <v>48</v>
      </c>
      <c r="B82" s="107">
        <v>0</v>
      </c>
      <c r="C82" s="444" t="s">
        <v>49</v>
      </c>
      <c r="D82" s="445"/>
      <c r="E82" s="445"/>
      <c r="F82" s="445"/>
      <c r="G82" s="446"/>
      <c r="I82" s="109"/>
      <c r="J82" s="109"/>
      <c r="K82" s="109"/>
      <c r="L82" s="109"/>
    </row>
    <row r="83" spans="1:12" s="108" customFormat="1" ht="19.5" customHeight="1" thickBot="1" x14ac:dyDescent="0.35">
      <c r="A83" s="105" t="s">
        <v>50</v>
      </c>
      <c r="B83" s="110">
        <f>B81-B82</f>
        <v>99.9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08" customFormat="1" ht="27" customHeight="1" thickBot="1" x14ac:dyDescent="0.45">
      <c r="A84" s="105" t="s">
        <v>51</v>
      </c>
      <c r="B84" s="113">
        <v>1</v>
      </c>
      <c r="C84" s="447" t="s">
        <v>110</v>
      </c>
      <c r="D84" s="448"/>
      <c r="E84" s="448"/>
      <c r="F84" s="448"/>
      <c r="G84" s="448"/>
      <c r="H84" s="449"/>
      <c r="I84" s="109"/>
      <c r="J84" s="109"/>
      <c r="K84" s="109"/>
      <c r="L84" s="109"/>
    </row>
    <row r="85" spans="1:12" s="108" customFormat="1" ht="27" customHeight="1" thickBot="1" x14ac:dyDescent="0.45">
      <c r="A85" s="105" t="s">
        <v>53</v>
      </c>
      <c r="B85" s="113">
        <v>1</v>
      </c>
      <c r="C85" s="447" t="s">
        <v>111</v>
      </c>
      <c r="D85" s="448"/>
      <c r="E85" s="448"/>
      <c r="F85" s="448"/>
      <c r="G85" s="448"/>
      <c r="H85" s="449"/>
      <c r="I85" s="109"/>
      <c r="J85" s="109"/>
      <c r="K85" s="109"/>
      <c r="L85" s="109"/>
    </row>
    <row r="86" spans="1:12" s="108" customFormat="1" ht="18.75" x14ac:dyDescent="0.3">
      <c r="A86" s="105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08" customFormat="1" ht="18.75" x14ac:dyDescent="0.3">
      <c r="A87" s="105" t="s">
        <v>55</v>
      </c>
      <c r="B87" s="118">
        <f>B84/B85</f>
        <v>1</v>
      </c>
      <c r="C87" s="93" t="s">
        <v>56</v>
      </c>
      <c r="D87" s="93"/>
      <c r="E87" s="93"/>
      <c r="F87" s="93"/>
      <c r="G87" s="93"/>
      <c r="I87" s="109"/>
      <c r="J87" s="109"/>
      <c r="K87" s="109"/>
      <c r="L87" s="109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9" t="s">
        <v>57</v>
      </c>
      <c r="B89" s="120">
        <v>25</v>
      </c>
      <c r="D89" s="203" t="s">
        <v>58</v>
      </c>
      <c r="E89" s="204"/>
      <c r="F89" s="450" t="s">
        <v>59</v>
      </c>
      <c r="G89" s="451"/>
    </row>
    <row r="90" spans="1:12" ht="27" customHeight="1" thickBot="1" x14ac:dyDescent="0.45">
      <c r="A90" s="121" t="s">
        <v>60</v>
      </c>
      <c r="B90" s="122">
        <v>5</v>
      </c>
      <c r="C90" s="205" t="s">
        <v>61</v>
      </c>
      <c r="D90" s="124" t="s">
        <v>62</v>
      </c>
      <c r="E90" s="125" t="s">
        <v>63</v>
      </c>
      <c r="F90" s="124" t="s">
        <v>62</v>
      </c>
      <c r="G90" s="206" t="s">
        <v>63</v>
      </c>
      <c r="I90" s="127" t="s">
        <v>64</v>
      </c>
    </row>
    <row r="91" spans="1:12" ht="26.25" customHeight="1" x14ac:dyDescent="0.4">
      <c r="A91" s="121" t="s">
        <v>65</v>
      </c>
      <c r="B91" s="122">
        <v>25</v>
      </c>
      <c r="C91" s="207">
        <v>1</v>
      </c>
      <c r="D91" s="129">
        <v>148357723</v>
      </c>
      <c r="E91" s="130">
        <f>IF(ISBLANK(D91),"-",$D$101/$D$98*D91)</f>
        <v>160747122.6164737</v>
      </c>
      <c r="F91" s="129">
        <v>153356783</v>
      </c>
      <c r="G91" s="131">
        <f>IF(ISBLANK(F91),"-",$D$101/$F$98*F91)</f>
        <v>164164574.15601891</v>
      </c>
      <c r="I91" s="132"/>
    </row>
    <row r="92" spans="1:12" ht="26.25" customHeight="1" x14ac:dyDescent="0.4">
      <c r="A92" s="121" t="s">
        <v>66</v>
      </c>
      <c r="B92" s="122">
        <v>1</v>
      </c>
      <c r="C92" s="151">
        <v>2</v>
      </c>
      <c r="D92" s="134">
        <v>148391558</v>
      </c>
      <c r="E92" s="135">
        <f>IF(ISBLANK(D92),"-",$D$101/$D$98*D92)</f>
        <v>160783783.1878531</v>
      </c>
      <c r="F92" s="134">
        <v>152879023</v>
      </c>
      <c r="G92" s="136">
        <f>IF(ISBLANK(F92),"-",$D$101/$F$98*F92)</f>
        <v>163653144.10764095</v>
      </c>
      <c r="I92" s="434">
        <f>ABS((F96/D96*D95)-F95)/D95</f>
        <v>1.9233963050107473E-2</v>
      </c>
    </row>
    <row r="93" spans="1:12" ht="26.25" customHeight="1" x14ac:dyDescent="0.4">
      <c r="A93" s="121" t="s">
        <v>67</v>
      </c>
      <c r="B93" s="122">
        <v>1</v>
      </c>
      <c r="C93" s="151">
        <v>3</v>
      </c>
      <c r="D93" s="134">
        <v>148864552</v>
      </c>
      <c r="E93" s="135">
        <f>IF(ISBLANK(D93),"-",$D$101/$D$98*D93)</f>
        <v>161296277.06398827</v>
      </c>
      <c r="F93" s="134">
        <v>153375321</v>
      </c>
      <c r="G93" s="136">
        <f>IF(ISBLANK(F93),"-",$D$101/$F$98*F93)</f>
        <v>164184418.61816901</v>
      </c>
      <c r="I93" s="434"/>
    </row>
    <row r="94" spans="1:12" ht="27" customHeight="1" thickBot="1" x14ac:dyDescent="0.45">
      <c r="A94" s="121" t="s">
        <v>68</v>
      </c>
      <c r="B94" s="122">
        <v>1</v>
      </c>
      <c r="C94" s="208">
        <v>4</v>
      </c>
      <c r="D94" s="138"/>
      <c r="E94" s="139" t="str">
        <f>IF(ISBLANK(D94),"-",$D$101/$D$98*D94)</f>
        <v>-</v>
      </c>
      <c r="F94" s="209"/>
      <c r="G94" s="140" t="str">
        <f>IF(ISBLANK(F94),"-",$D$101/$F$98*F94)</f>
        <v>-</v>
      </c>
      <c r="I94" s="141"/>
    </row>
    <row r="95" spans="1:12" ht="27" customHeight="1" thickBot="1" x14ac:dyDescent="0.45">
      <c r="A95" s="121" t="s">
        <v>69</v>
      </c>
      <c r="B95" s="122">
        <v>1</v>
      </c>
      <c r="C95" s="105" t="s">
        <v>70</v>
      </c>
      <c r="D95" s="210">
        <f>AVERAGE(D91:D94)</f>
        <v>148537944.33333334</v>
      </c>
      <c r="E95" s="144">
        <f>AVERAGE(E91:E94)</f>
        <v>160942394.28943834</v>
      </c>
      <c r="F95" s="211">
        <f>AVERAGE(F91:F94)</f>
        <v>153203709</v>
      </c>
      <c r="G95" s="212">
        <f>AVERAGE(G91:G94)</f>
        <v>164000712.29394296</v>
      </c>
    </row>
    <row r="96" spans="1:12" ht="26.25" customHeight="1" x14ac:dyDescent="0.4">
      <c r="A96" s="121" t="s">
        <v>71</v>
      </c>
      <c r="B96" s="106">
        <v>1</v>
      </c>
      <c r="C96" s="213" t="s">
        <v>112</v>
      </c>
      <c r="D96" s="214">
        <v>20.53</v>
      </c>
      <c r="E96" s="93"/>
      <c r="F96" s="148">
        <v>20.78</v>
      </c>
    </row>
    <row r="97" spans="1:10" ht="26.25" customHeight="1" x14ac:dyDescent="0.4">
      <c r="A97" s="121" t="s">
        <v>73</v>
      </c>
      <c r="B97" s="106">
        <v>1</v>
      </c>
      <c r="C97" s="215" t="s">
        <v>113</v>
      </c>
      <c r="D97" s="216">
        <f>D96*$B$87</f>
        <v>20.53</v>
      </c>
      <c r="E97" s="151"/>
      <c r="F97" s="150">
        <f>F96*$B$87</f>
        <v>20.78</v>
      </c>
    </row>
    <row r="98" spans="1:10" ht="19.5" customHeight="1" thickBot="1" x14ac:dyDescent="0.35">
      <c r="A98" s="121" t="s">
        <v>75</v>
      </c>
      <c r="B98" s="151">
        <f>(B97/B96)*(B95/B94)*(B93/B92)*(B91/B90)*B89</f>
        <v>125</v>
      </c>
      <c r="C98" s="215" t="s">
        <v>114</v>
      </c>
      <c r="D98" s="217">
        <f>D97*$B$83/100</f>
        <v>20.50947</v>
      </c>
      <c r="E98" s="153"/>
      <c r="F98" s="152">
        <f>F97*$B$83/100</f>
        <v>20.759219999999999</v>
      </c>
    </row>
    <row r="99" spans="1:10" ht="19.5" customHeight="1" thickBot="1" x14ac:dyDescent="0.35">
      <c r="A99" s="435" t="s">
        <v>77</v>
      </c>
      <c r="B99" s="436"/>
      <c r="C99" s="215" t="s">
        <v>115</v>
      </c>
      <c r="D99" s="218">
        <f>D98/$B$98</f>
        <v>0.16407576000000001</v>
      </c>
      <c r="E99" s="153"/>
      <c r="F99" s="156">
        <f>F98/$B$98</f>
        <v>0.16607375999999999</v>
      </c>
      <c r="H99" s="146"/>
    </row>
    <row r="100" spans="1:10" ht="19.5" customHeight="1" thickBot="1" x14ac:dyDescent="0.35">
      <c r="A100" s="437"/>
      <c r="B100" s="438"/>
      <c r="C100" s="215" t="s">
        <v>79</v>
      </c>
      <c r="D100" s="219">
        <f>$B$56/$B$116</f>
        <v>0.17777777777777778</v>
      </c>
      <c r="F100" s="161"/>
      <c r="G100" s="220"/>
      <c r="H100" s="146"/>
    </row>
    <row r="101" spans="1:10" ht="18.75" x14ac:dyDescent="0.3">
      <c r="C101" s="215" t="s">
        <v>80</v>
      </c>
      <c r="D101" s="216">
        <f>D100*$B$98</f>
        <v>22.222222222222221</v>
      </c>
      <c r="F101" s="161"/>
      <c r="H101" s="146"/>
    </row>
    <row r="102" spans="1:10" ht="19.5" customHeight="1" thickBot="1" x14ac:dyDescent="0.35">
      <c r="C102" s="221" t="s">
        <v>81</v>
      </c>
      <c r="D102" s="222">
        <f>D101/B34</f>
        <v>22.222222222222221</v>
      </c>
      <c r="F102" s="165"/>
      <c r="H102" s="146"/>
      <c r="J102" s="223"/>
    </row>
    <row r="103" spans="1:10" ht="18.75" x14ac:dyDescent="0.3">
      <c r="C103" s="224" t="s">
        <v>116</v>
      </c>
      <c r="D103" s="225">
        <f>AVERAGE(E91:E94,G91:G94)</f>
        <v>162471553.29169068</v>
      </c>
      <c r="F103" s="165"/>
      <c r="G103" s="220"/>
      <c r="H103" s="146"/>
      <c r="J103" s="226"/>
    </row>
    <row r="104" spans="1:10" ht="18.75" x14ac:dyDescent="0.3">
      <c r="C104" s="198" t="s">
        <v>83</v>
      </c>
      <c r="D104" s="227">
        <f>STDEV(E91:E94,G91:G94)/D103</f>
        <v>1.0445210909372518E-2</v>
      </c>
      <c r="F104" s="165"/>
      <c r="H104" s="146"/>
      <c r="J104" s="226"/>
    </row>
    <row r="105" spans="1:10" ht="19.5" customHeight="1" thickBot="1" x14ac:dyDescent="0.35">
      <c r="C105" s="200" t="s">
        <v>20</v>
      </c>
      <c r="D105" s="228">
        <f>COUNT(E91:E94,G91:G94)</f>
        <v>6</v>
      </c>
      <c r="F105" s="165"/>
      <c r="H105" s="146"/>
      <c r="J105" s="226"/>
    </row>
    <row r="106" spans="1:10" ht="19.5" customHeight="1" thickBot="1" x14ac:dyDescent="0.35">
      <c r="A106" s="169"/>
      <c r="B106" s="169"/>
      <c r="C106" s="169"/>
      <c r="D106" s="169"/>
      <c r="E106" s="169"/>
    </row>
    <row r="107" spans="1:10" ht="26.25" customHeight="1" x14ac:dyDescent="0.4">
      <c r="A107" s="119" t="s">
        <v>117</v>
      </c>
      <c r="B107" s="120">
        <v>900</v>
      </c>
      <c r="C107" s="203" t="s">
        <v>118</v>
      </c>
      <c r="D107" s="229" t="s">
        <v>62</v>
      </c>
      <c r="E107" s="230" t="s">
        <v>119</v>
      </c>
      <c r="F107" s="231" t="s">
        <v>120</v>
      </c>
    </row>
    <row r="108" spans="1:10" ht="26.25" customHeight="1" x14ac:dyDescent="0.4">
      <c r="A108" s="121" t="s">
        <v>121</v>
      </c>
      <c r="B108" s="122">
        <v>2</v>
      </c>
      <c r="C108" s="232">
        <v>1</v>
      </c>
      <c r="D108" s="233">
        <v>149208741</v>
      </c>
      <c r="E108" s="234">
        <f t="shared" ref="E108:E113" si="1">IF(ISBLANK(D108),"-",D108/$D$103*$D$100*$B$116)</f>
        <v>734.6947227475348</v>
      </c>
      <c r="F108" s="235">
        <f t="shared" ref="F108:F113" si="2">IF(ISBLANK(D108), "-", E108/$B$56)</f>
        <v>0.9183684034344185</v>
      </c>
    </row>
    <row r="109" spans="1:10" ht="26.25" customHeight="1" x14ac:dyDescent="0.4">
      <c r="A109" s="121" t="s">
        <v>94</v>
      </c>
      <c r="B109" s="122">
        <v>10</v>
      </c>
      <c r="C109" s="232">
        <v>2</v>
      </c>
      <c r="D109" s="233">
        <v>151106046</v>
      </c>
      <c r="E109" s="236">
        <f t="shared" si="1"/>
        <v>744.03693662589274</v>
      </c>
      <c r="F109" s="237">
        <f t="shared" si="2"/>
        <v>0.93004617078236596</v>
      </c>
    </row>
    <row r="110" spans="1:10" ht="26.25" customHeight="1" x14ac:dyDescent="0.4">
      <c r="A110" s="121" t="s">
        <v>95</v>
      </c>
      <c r="B110" s="122">
        <v>1</v>
      </c>
      <c r="C110" s="232">
        <v>3</v>
      </c>
      <c r="D110" s="233">
        <v>148352478</v>
      </c>
      <c r="E110" s="236">
        <f t="shared" si="1"/>
        <v>730.47853606056333</v>
      </c>
      <c r="F110" s="237">
        <f t="shared" si="2"/>
        <v>0.91309817007570415</v>
      </c>
    </row>
    <row r="111" spans="1:10" ht="26.25" customHeight="1" x14ac:dyDescent="0.4">
      <c r="A111" s="121" t="s">
        <v>96</v>
      </c>
      <c r="B111" s="122">
        <v>1</v>
      </c>
      <c r="C111" s="232">
        <v>4</v>
      </c>
      <c r="D111" s="233">
        <v>153020660</v>
      </c>
      <c r="E111" s="236">
        <f t="shared" si="1"/>
        <v>753.46437896252201</v>
      </c>
      <c r="F111" s="237">
        <f t="shared" si="2"/>
        <v>0.94183047370315254</v>
      </c>
    </row>
    <row r="112" spans="1:10" ht="26.25" customHeight="1" x14ac:dyDescent="0.4">
      <c r="A112" s="121" t="s">
        <v>97</v>
      </c>
      <c r="B112" s="122">
        <v>1</v>
      </c>
      <c r="C112" s="232">
        <v>5</v>
      </c>
      <c r="D112" s="233">
        <v>148941355</v>
      </c>
      <c r="E112" s="236">
        <f t="shared" si="1"/>
        <v>733.37813042311745</v>
      </c>
      <c r="F112" s="237">
        <f t="shared" si="2"/>
        <v>0.91672266302889682</v>
      </c>
    </row>
    <row r="113" spans="1:10" ht="26.25" customHeight="1" x14ac:dyDescent="0.4">
      <c r="A113" s="121" t="s">
        <v>99</v>
      </c>
      <c r="B113" s="122">
        <v>1</v>
      </c>
      <c r="C113" s="238">
        <v>6</v>
      </c>
      <c r="D113" s="239">
        <v>150554299</v>
      </c>
      <c r="E113" s="240">
        <f t="shared" si="1"/>
        <v>741.32016811437643</v>
      </c>
      <c r="F113" s="241">
        <f t="shared" si="2"/>
        <v>0.92665021014297055</v>
      </c>
    </row>
    <row r="114" spans="1:10" ht="26.25" customHeight="1" x14ac:dyDescent="0.4">
      <c r="A114" s="121" t="s">
        <v>100</v>
      </c>
      <c r="B114" s="122">
        <v>1</v>
      </c>
      <c r="C114" s="232"/>
      <c r="D114" s="151"/>
      <c r="E114" s="93"/>
      <c r="F114" s="242"/>
    </row>
    <row r="115" spans="1:10" ht="26.25" customHeight="1" x14ac:dyDescent="0.4">
      <c r="A115" s="121" t="s">
        <v>101</v>
      </c>
      <c r="B115" s="122">
        <v>1</v>
      </c>
      <c r="C115" s="232"/>
      <c r="D115" s="243" t="s">
        <v>70</v>
      </c>
      <c r="E115" s="244">
        <f>AVERAGE(E108:E113)</f>
        <v>739.56214548900118</v>
      </c>
      <c r="F115" s="245">
        <f>AVERAGE(F108:F113)</f>
        <v>0.92445268186125151</v>
      </c>
    </row>
    <row r="116" spans="1:10" ht="27" customHeight="1" thickBot="1" x14ac:dyDescent="0.45">
      <c r="A116" s="121" t="s">
        <v>102</v>
      </c>
      <c r="B116" s="133">
        <f>(B115/B114)*(B113/B112)*(B111/B110)*(B109/B108)*B107</f>
        <v>4500</v>
      </c>
      <c r="C116" s="246"/>
      <c r="D116" s="105" t="s">
        <v>83</v>
      </c>
      <c r="E116" s="247">
        <f>STDEV(E108:E113)/E115</f>
        <v>1.1486640481926522E-2</v>
      </c>
      <c r="F116" s="247">
        <f>STDEV(F108:F113)/F115</f>
        <v>1.148664048192654E-2</v>
      </c>
      <c r="I116" s="93"/>
    </row>
    <row r="117" spans="1:10" ht="27" customHeight="1" thickBot="1" x14ac:dyDescent="0.45">
      <c r="A117" s="435" t="s">
        <v>77</v>
      </c>
      <c r="B117" s="439"/>
      <c r="C117" s="248"/>
      <c r="D117" s="249" t="s">
        <v>20</v>
      </c>
      <c r="E117" s="250">
        <f>COUNT(E108:E113)</f>
        <v>6</v>
      </c>
      <c r="F117" s="250">
        <f>COUNT(F108:F113)</f>
        <v>6</v>
      </c>
      <c r="I117" s="93"/>
      <c r="J117" s="226"/>
    </row>
    <row r="118" spans="1:10" ht="19.5" customHeight="1" thickBot="1" x14ac:dyDescent="0.35">
      <c r="A118" s="437"/>
      <c r="B118" s="440"/>
      <c r="C118" s="93"/>
      <c r="D118" s="93"/>
      <c r="E118" s="93"/>
      <c r="F118" s="151"/>
      <c r="G118" s="93"/>
      <c r="H118" s="93"/>
      <c r="I118" s="93"/>
    </row>
    <row r="119" spans="1:10" ht="18.75" x14ac:dyDescent="0.3">
      <c r="A119" s="251"/>
      <c r="B119" s="117"/>
      <c r="C119" s="93"/>
      <c r="D119" s="93"/>
      <c r="E119" s="93"/>
      <c r="F119" s="151"/>
      <c r="G119" s="93"/>
      <c r="H119" s="93"/>
      <c r="I119" s="93"/>
    </row>
    <row r="120" spans="1:10" ht="26.25" customHeight="1" x14ac:dyDescent="0.4">
      <c r="A120" s="104" t="s">
        <v>105</v>
      </c>
      <c r="B120" s="105" t="s">
        <v>122</v>
      </c>
      <c r="C120" s="441" t="str">
        <f>B20</f>
        <v>Sulfamethoxazole</v>
      </c>
      <c r="D120" s="441"/>
      <c r="E120" s="93" t="s">
        <v>123</v>
      </c>
      <c r="F120" s="93"/>
      <c r="G120" s="202">
        <f>F115</f>
        <v>0.92445268186125151</v>
      </c>
      <c r="H120" s="93"/>
      <c r="I120" s="93"/>
    </row>
    <row r="121" spans="1:10" ht="19.5" customHeight="1" thickBot="1" x14ac:dyDescent="0.35">
      <c r="A121" s="252"/>
      <c r="B121" s="252"/>
      <c r="C121" s="253"/>
      <c r="D121" s="253"/>
      <c r="E121" s="253"/>
      <c r="F121" s="253"/>
      <c r="G121" s="253"/>
      <c r="H121" s="253"/>
    </row>
    <row r="122" spans="1:10" ht="18.75" x14ac:dyDescent="0.3">
      <c r="B122" s="442" t="s">
        <v>25</v>
      </c>
      <c r="C122" s="442"/>
      <c r="E122" s="205" t="s">
        <v>26</v>
      </c>
      <c r="F122" s="254"/>
      <c r="G122" s="442" t="s">
        <v>27</v>
      </c>
      <c r="H122" s="442"/>
    </row>
    <row r="123" spans="1:10" ht="69.95" customHeight="1" x14ac:dyDescent="0.3">
      <c r="A123" s="104" t="s">
        <v>28</v>
      </c>
      <c r="B123" s="255"/>
      <c r="C123" s="255"/>
      <c r="E123" s="255"/>
      <c r="F123" s="93"/>
      <c r="G123" s="255"/>
      <c r="H123" s="255"/>
    </row>
    <row r="124" spans="1:10" ht="69.95" customHeight="1" x14ac:dyDescent="0.3">
      <c r="A124" s="104" t="s">
        <v>29</v>
      </c>
      <c r="B124" s="256"/>
      <c r="C124" s="256"/>
      <c r="E124" s="256"/>
      <c r="F124" s="93"/>
      <c r="G124" s="257"/>
      <c r="H124" s="257"/>
    </row>
    <row r="125" spans="1:10" ht="18.75" x14ac:dyDescent="0.3">
      <c r="A125" s="151"/>
      <c r="B125" s="151"/>
      <c r="C125" s="151"/>
      <c r="D125" s="151"/>
      <c r="E125" s="151"/>
      <c r="F125" s="153"/>
      <c r="G125" s="151"/>
      <c r="H125" s="151"/>
      <c r="I125" s="93"/>
    </row>
    <row r="126" spans="1:10" ht="18.75" x14ac:dyDescent="0.3">
      <c r="A126" s="151"/>
      <c r="B126" s="151"/>
      <c r="C126" s="151"/>
      <c r="D126" s="151"/>
      <c r="E126" s="151"/>
      <c r="F126" s="153"/>
      <c r="G126" s="151"/>
      <c r="H126" s="151"/>
      <c r="I126" s="93"/>
    </row>
    <row r="127" spans="1:10" ht="18.75" x14ac:dyDescent="0.3">
      <c r="A127" s="151"/>
      <c r="B127" s="151"/>
      <c r="C127" s="151"/>
      <c r="D127" s="151"/>
      <c r="E127" s="151"/>
      <c r="F127" s="153"/>
      <c r="G127" s="151"/>
      <c r="H127" s="151"/>
      <c r="I127" s="93"/>
    </row>
    <row r="128" spans="1:10" ht="18.75" x14ac:dyDescent="0.3">
      <c r="A128" s="151"/>
      <c r="B128" s="151"/>
      <c r="C128" s="151"/>
      <c r="D128" s="151"/>
      <c r="E128" s="151"/>
      <c r="F128" s="153"/>
      <c r="G128" s="151"/>
      <c r="H128" s="151"/>
      <c r="I128" s="93"/>
    </row>
    <row r="129" spans="1:9" ht="18.75" x14ac:dyDescent="0.3">
      <c r="A129" s="151"/>
      <c r="B129" s="151"/>
      <c r="C129" s="151"/>
      <c r="D129" s="151"/>
      <c r="E129" s="151"/>
      <c r="F129" s="153"/>
      <c r="G129" s="151"/>
      <c r="H129" s="151"/>
      <c r="I129" s="93"/>
    </row>
    <row r="130" spans="1:9" ht="18.75" x14ac:dyDescent="0.3">
      <c r="A130" s="151"/>
      <c r="B130" s="151"/>
      <c r="C130" s="151"/>
      <c r="D130" s="151"/>
      <c r="E130" s="151"/>
      <c r="F130" s="153"/>
      <c r="G130" s="151"/>
      <c r="H130" s="151"/>
      <c r="I130" s="93"/>
    </row>
    <row r="131" spans="1:9" ht="18.75" x14ac:dyDescent="0.3">
      <c r="A131" s="151"/>
      <c r="B131" s="151"/>
      <c r="C131" s="151"/>
      <c r="D131" s="151"/>
      <c r="E131" s="151"/>
      <c r="F131" s="153"/>
      <c r="G131" s="151"/>
      <c r="H131" s="151"/>
      <c r="I131" s="93"/>
    </row>
    <row r="132" spans="1:9" ht="18.75" x14ac:dyDescent="0.3">
      <c r="A132" s="151"/>
      <c r="B132" s="151"/>
      <c r="C132" s="151"/>
      <c r="D132" s="151"/>
      <c r="E132" s="151"/>
      <c r="F132" s="153"/>
      <c r="G132" s="151"/>
      <c r="H132" s="151"/>
      <c r="I132" s="93"/>
    </row>
    <row r="133" spans="1:9" ht="18.75" x14ac:dyDescent="0.3">
      <c r="A133" s="151"/>
      <c r="B133" s="151"/>
      <c r="C133" s="151"/>
      <c r="D133" s="151"/>
      <c r="E133" s="151"/>
      <c r="F133" s="153"/>
      <c r="G133" s="151"/>
      <c r="H133" s="151"/>
      <c r="I133" s="93"/>
    </row>
    <row r="250" spans="1:1" x14ac:dyDescent="0.25">
      <c r="A250" s="9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52" zoomScale="55" zoomScaleNormal="40" zoomScaleSheetLayoutView="55" zoomScalePageLayoutView="55" workbookViewId="0">
      <selection activeCell="F106" activeCellId="1" sqref="E251 F106"/>
    </sheetView>
  </sheetViews>
  <sheetFormatPr defaultColWidth="9.140625" defaultRowHeight="13.5" x14ac:dyDescent="0.25"/>
  <cols>
    <col min="1" max="1" width="55.42578125" style="258" customWidth="1"/>
    <col min="2" max="2" width="33.7109375" style="258" customWidth="1"/>
    <col min="3" max="3" width="42.28515625" style="258" customWidth="1"/>
    <col min="4" max="4" width="30.5703125" style="258" customWidth="1"/>
    <col min="5" max="5" width="39.85546875" style="258" customWidth="1"/>
    <col min="6" max="6" width="30.7109375" style="258" customWidth="1"/>
    <col min="7" max="7" width="39.85546875" style="258" customWidth="1"/>
    <col min="8" max="8" width="30" style="258" customWidth="1"/>
    <col min="9" max="9" width="30.28515625" style="258" hidden="1" customWidth="1"/>
    <col min="10" max="10" width="30.42578125" style="258" customWidth="1"/>
    <col min="11" max="11" width="21.28515625" style="258" customWidth="1"/>
    <col min="12" max="12" width="9.140625" style="258"/>
    <col min="13" max="16384" width="9.140625" style="260"/>
  </cols>
  <sheetData>
    <row r="1" spans="1:9" ht="18.75" customHeight="1" x14ac:dyDescent="0.25">
      <c r="A1" s="503" t="s">
        <v>44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45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thickBot="1" x14ac:dyDescent="0.35">
      <c r="A15" s="259"/>
    </row>
    <row r="16" spans="1:9" ht="19.5" customHeight="1" thickBot="1" x14ac:dyDescent="0.35">
      <c r="A16" s="505" t="s">
        <v>30</v>
      </c>
      <c r="B16" s="506"/>
      <c r="C16" s="506"/>
      <c r="D16" s="506"/>
      <c r="E16" s="506"/>
      <c r="F16" s="506"/>
      <c r="G16" s="506"/>
      <c r="H16" s="507"/>
    </row>
    <row r="17" spans="1:14" ht="20.25" customHeight="1" x14ac:dyDescent="0.25">
      <c r="A17" s="508" t="s">
        <v>46</v>
      </c>
      <c r="B17" s="508"/>
      <c r="C17" s="508"/>
      <c r="D17" s="508"/>
      <c r="E17" s="508"/>
      <c r="F17" s="508"/>
      <c r="G17" s="508"/>
      <c r="H17" s="508"/>
    </row>
    <row r="18" spans="1:14" ht="26.25" customHeight="1" x14ac:dyDescent="0.4">
      <c r="A18" s="261" t="s">
        <v>32</v>
      </c>
      <c r="B18" s="501" t="s">
        <v>5</v>
      </c>
      <c r="C18" s="501"/>
      <c r="D18" s="262"/>
      <c r="E18" s="263"/>
      <c r="F18" s="264"/>
      <c r="G18" s="264"/>
      <c r="H18" s="264"/>
    </row>
    <row r="19" spans="1:14" ht="26.25" customHeight="1" x14ac:dyDescent="0.4">
      <c r="A19" s="261" t="s">
        <v>33</v>
      </c>
      <c r="B19" s="265" t="s">
        <v>7</v>
      </c>
      <c r="C19" s="264">
        <v>29</v>
      </c>
      <c r="D19" s="264"/>
      <c r="E19" s="264"/>
      <c r="F19" s="264"/>
      <c r="G19" s="264"/>
      <c r="H19" s="264"/>
    </row>
    <row r="20" spans="1:14" ht="26.25" customHeight="1" x14ac:dyDescent="0.4">
      <c r="A20" s="261" t="s">
        <v>34</v>
      </c>
      <c r="B20" s="500" t="s">
        <v>125</v>
      </c>
      <c r="C20" s="500"/>
      <c r="D20" s="264"/>
      <c r="E20" s="264"/>
      <c r="F20" s="264"/>
      <c r="G20" s="264"/>
      <c r="H20" s="264"/>
    </row>
    <row r="21" spans="1:14" ht="26.25" customHeight="1" x14ac:dyDescent="0.4">
      <c r="A21" s="261" t="s">
        <v>35</v>
      </c>
      <c r="B21" s="500" t="s">
        <v>11</v>
      </c>
      <c r="C21" s="500"/>
      <c r="D21" s="500"/>
      <c r="E21" s="500"/>
      <c r="F21" s="500"/>
      <c r="G21" s="500"/>
      <c r="H21" s="500"/>
      <c r="I21" s="266"/>
    </row>
    <row r="22" spans="1:14" ht="26.25" customHeight="1" x14ac:dyDescent="0.4">
      <c r="A22" s="261" t="s">
        <v>36</v>
      </c>
      <c r="B22" s="267" t="s">
        <v>127</v>
      </c>
      <c r="C22" s="264"/>
      <c r="D22" s="264"/>
      <c r="E22" s="264"/>
      <c r="F22" s="264"/>
      <c r="G22" s="264"/>
      <c r="H22" s="264"/>
    </row>
    <row r="23" spans="1:14" ht="26.25" customHeight="1" x14ac:dyDescent="0.4">
      <c r="A23" s="261" t="s">
        <v>37</v>
      </c>
      <c r="B23" s="267"/>
      <c r="C23" s="264"/>
      <c r="D23" s="264"/>
      <c r="E23" s="264"/>
      <c r="F23" s="264"/>
      <c r="G23" s="264"/>
      <c r="H23" s="264"/>
    </row>
    <row r="24" spans="1:14" ht="18.75" x14ac:dyDescent="0.3">
      <c r="A24" s="261"/>
      <c r="B24" s="268"/>
    </row>
    <row r="25" spans="1:14" ht="18.75" x14ac:dyDescent="0.3">
      <c r="A25" s="269" t="s">
        <v>1</v>
      </c>
      <c r="B25" s="268"/>
    </row>
    <row r="26" spans="1:14" ht="26.25" customHeight="1" x14ac:dyDescent="0.4">
      <c r="A26" s="270" t="s">
        <v>4</v>
      </c>
      <c r="B26" s="501" t="s">
        <v>125</v>
      </c>
      <c r="C26" s="501"/>
    </row>
    <row r="27" spans="1:14" ht="26.25" customHeight="1" x14ac:dyDescent="0.4">
      <c r="A27" s="271" t="s">
        <v>47</v>
      </c>
      <c r="B27" s="502" t="s">
        <v>130</v>
      </c>
      <c r="C27" s="502"/>
    </row>
    <row r="28" spans="1:14" ht="27" customHeight="1" thickBot="1" x14ac:dyDescent="0.45">
      <c r="A28" s="271" t="s">
        <v>6</v>
      </c>
      <c r="B28" s="272">
        <v>99.7</v>
      </c>
    </row>
    <row r="29" spans="1:14" s="274" customFormat="1" ht="27" customHeight="1" thickBot="1" x14ac:dyDescent="0.45">
      <c r="A29" s="271" t="s">
        <v>48</v>
      </c>
      <c r="B29" s="273">
        <v>0</v>
      </c>
      <c r="C29" s="483" t="s">
        <v>49</v>
      </c>
      <c r="D29" s="484"/>
      <c r="E29" s="484"/>
      <c r="F29" s="484"/>
      <c r="G29" s="485"/>
      <c r="I29" s="275"/>
      <c r="J29" s="275"/>
      <c r="K29" s="275"/>
      <c r="L29" s="275"/>
    </row>
    <row r="30" spans="1:14" s="274" customFormat="1" ht="19.5" customHeight="1" thickBot="1" x14ac:dyDescent="0.35">
      <c r="A30" s="271" t="s">
        <v>50</v>
      </c>
      <c r="B30" s="276">
        <f>B28-B29</f>
        <v>99.7</v>
      </c>
      <c r="C30" s="277"/>
      <c r="D30" s="277"/>
      <c r="E30" s="277"/>
      <c r="F30" s="277"/>
      <c r="G30" s="278"/>
      <c r="I30" s="275"/>
      <c r="J30" s="275"/>
      <c r="K30" s="275"/>
      <c r="L30" s="275"/>
    </row>
    <row r="31" spans="1:14" s="274" customFormat="1" ht="27" customHeight="1" thickBot="1" x14ac:dyDescent="0.45">
      <c r="A31" s="271" t="s">
        <v>51</v>
      </c>
      <c r="B31" s="279">
        <v>1</v>
      </c>
      <c r="C31" s="486" t="s">
        <v>52</v>
      </c>
      <c r="D31" s="487"/>
      <c r="E31" s="487"/>
      <c r="F31" s="487"/>
      <c r="G31" s="487"/>
      <c r="H31" s="488"/>
      <c r="I31" s="275"/>
      <c r="J31" s="275"/>
      <c r="K31" s="275"/>
      <c r="L31" s="275"/>
    </row>
    <row r="32" spans="1:14" s="274" customFormat="1" ht="27" customHeight="1" thickBot="1" x14ac:dyDescent="0.45">
      <c r="A32" s="271" t="s">
        <v>53</v>
      </c>
      <c r="B32" s="279">
        <v>1</v>
      </c>
      <c r="C32" s="486" t="s">
        <v>54</v>
      </c>
      <c r="D32" s="487"/>
      <c r="E32" s="487"/>
      <c r="F32" s="487"/>
      <c r="G32" s="487"/>
      <c r="H32" s="488"/>
      <c r="I32" s="275"/>
      <c r="J32" s="275"/>
      <c r="K32" s="275"/>
      <c r="L32" s="280"/>
      <c r="M32" s="280"/>
      <c r="N32" s="281"/>
    </row>
    <row r="33" spans="1:14" s="274" customFormat="1" ht="17.25" customHeight="1" x14ac:dyDescent="0.3">
      <c r="A33" s="271"/>
      <c r="B33" s="282"/>
      <c r="C33" s="283"/>
      <c r="D33" s="283"/>
      <c r="E33" s="283"/>
      <c r="F33" s="283"/>
      <c r="G33" s="283"/>
      <c r="H33" s="283"/>
      <c r="I33" s="275"/>
      <c r="J33" s="275"/>
      <c r="K33" s="275"/>
      <c r="L33" s="280"/>
      <c r="M33" s="280"/>
      <c r="N33" s="281"/>
    </row>
    <row r="34" spans="1:14" s="274" customFormat="1" ht="18.75" x14ac:dyDescent="0.3">
      <c r="A34" s="271" t="s">
        <v>55</v>
      </c>
      <c r="B34" s="284">
        <f>B31/B32</f>
        <v>1</v>
      </c>
      <c r="C34" s="259" t="s">
        <v>56</v>
      </c>
      <c r="D34" s="259"/>
      <c r="E34" s="259"/>
      <c r="F34" s="259"/>
      <c r="G34" s="259"/>
      <c r="I34" s="275"/>
      <c r="J34" s="275"/>
      <c r="K34" s="275"/>
      <c r="L34" s="280"/>
      <c r="M34" s="280"/>
      <c r="N34" s="281"/>
    </row>
    <row r="35" spans="1:14" s="274" customFormat="1" ht="19.5" customHeight="1" thickBot="1" x14ac:dyDescent="0.35">
      <c r="A35" s="271"/>
      <c r="B35" s="276"/>
      <c r="G35" s="259"/>
      <c r="I35" s="275"/>
      <c r="J35" s="275"/>
      <c r="K35" s="275"/>
      <c r="L35" s="280"/>
      <c r="M35" s="280"/>
      <c r="N35" s="281"/>
    </row>
    <row r="36" spans="1:14" s="274" customFormat="1" ht="27" customHeight="1" thickBot="1" x14ac:dyDescent="0.45">
      <c r="A36" s="285" t="s">
        <v>57</v>
      </c>
      <c r="B36" s="286">
        <v>25</v>
      </c>
      <c r="C36" s="259"/>
      <c r="D36" s="489" t="s">
        <v>58</v>
      </c>
      <c r="E36" s="499"/>
      <c r="F36" s="489" t="s">
        <v>59</v>
      </c>
      <c r="G36" s="490"/>
      <c r="J36" s="275"/>
      <c r="K36" s="275"/>
      <c r="L36" s="280"/>
      <c r="M36" s="280"/>
      <c r="N36" s="281"/>
    </row>
    <row r="37" spans="1:14" s="274" customFormat="1" ht="27" customHeight="1" thickBot="1" x14ac:dyDescent="0.45">
      <c r="A37" s="287" t="s">
        <v>60</v>
      </c>
      <c r="B37" s="288">
        <v>1</v>
      </c>
      <c r="C37" s="289" t="s">
        <v>61</v>
      </c>
      <c r="D37" s="290" t="s">
        <v>62</v>
      </c>
      <c r="E37" s="291" t="s">
        <v>63</v>
      </c>
      <c r="F37" s="290" t="s">
        <v>62</v>
      </c>
      <c r="G37" s="292" t="s">
        <v>63</v>
      </c>
      <c r="I37" s="293" t="s">
        <v>64</v>
      </c>
      <c r="J37" s="275"/>
      <c r="K37" s="275"/>
      <c r="L37" s="280"/>
      <c r="M37" s="280"/>
      <c r="N37" s="281"/>
    </row>
    <row r="38" spans="1:14" s="274" customFormat="1" ht="26.25" customHeight="1" x14ac:dyDescent="0.4">
      <c r="A38" s="287" t="s">
        <v>65</v>
      </c>
      <c r="B38" s="288">
        <v>25</v>
      </c>
      <c r="C38" s="294">
        <v>1</v>
      </c>
      <c r="D38" s="295">
        <v>11197367</v>
      </c>
      <c r="E38" s="296">
        <f>IF(ISBLANK(D38),"-",$D$48/$D$45*D38)</f>
        <v>6828222.3860296849</v>
      </c>
      <c r="F38" s="295">
        <v>10578060</v>
      </c>
      <c r="G38" s="297">
        <f>IF(ISBLANK(F38),"-",$D$48/$F$45*F38)</f>
        <v>6896704.1530206846</v>
      </c>
      <c r="I38" s="298"/>
      <c r="J38" s="275"/>
      <c r="K38" s="275"/>
      <c r="L38" s="280"/>
      <c r="M38" s="280"/>
      <c r="N38" s="281"/>
    </row>
    <row r="39" spans="1:14" s="274" customFormat="1" ht="26.25" customHeight="1" x14ac:dyDescent="0.4">
      <c r="A39" s="287" t="s">
        <v>66</v>
      </c>
      <c r="B39" s="288">
        <v>1</v>
      </c>
      <c r="C39" s="299">
        <v>2</v>
      </c>
      <c r="D39" s="300">
        <v>11230369</v>
      </c>
      <c r="E39" s="301">
        <f>IF(ISBLANK(D39),"-",$D$48/$D$45*D39)</f>
        <v>6848347.2060149321</v>
      </c>
      <c r="F39" s="300">
        <v>10579760</v>
      </c>
      <c r="G39" s="302">
        <f>IF(ISBLANK(F39),"-",$D$48/$F$45*F39)</f>
        <v>6897812.5223303819</v>
      </c>
      <c r="I39" s="473">
        <f>ABS((F43/D43*D42)-F42)/D42</f>
        <v>7.4820878289276098E-3</v>
      </c>
      <c r="J39" s="275"/>
      <c r="K39" s="275"/>
      <c r="L39" s="280"/>
      <c r="M39" s="280"/>
      <c r="N39" s="281"/>
    </row>
    <row r="40" spans="1:14" ht="26.25" customHeight="1" x14ac:dyDescent="0.4">
      <c r="A40" s="287" t="s">
        <v>67</v>
      </c>
      <c r="B40" s="288">
        <v>1</v>
      </c>
      <c r="C40" s="299">
        <v>3</v>
      </c>
      <c r="D40" s="300">
        <v>11271873</v>
      </c>
      <c r="E40" s="301">
        <f>IF(ISBLANK(D40),"-",$D$48/$D$45*D40)</f>
        <v>6873656.597223578</v>
      </c>
      <c r="F40" s="300">
        <v>10613948</v>
      </c>
      <c r="G40" s="302">
        <f>IF(ISBLANK(F40),"-",$D$48/$F$45*F40)</f>
        <v>6920102.4811303383</v>
      </c>
      <c r="I40" s="473"/>
      <c r="L40" s="280"/>
      <c r="M40" s="280"/>
      <c r="N40" s="259"/>
    </row>
    <row r="41" spans="1:14" ht="27" customHeight="1" thickBot="1" x14ac:dyDescent="0.45">
      <c r="A41" s="287" t="s">
        <v>68</v>
      </c>
      <c r="B41" s="288">
        <v>1</v>
      </c>
      <c r="C41" s="303">
        <v>4</v>
      </c>
      <c r="D41" s="304"/>
      <c r="E41" s="305" t="str">
        <f>IF(ISBLANK(D41),"-",$D$48/$D$45*D41)</f>
        <v>-</v>
      </c>
      <c r="F41" s="304"/>
      <c r="G41" s="306" t="str">
        <f>IF(ISBLANK(F41),"-",$D$48/$F$45*F41)</f>
        <v>-</v>
      </c>
      <c r="I41" s="307"/>
      <c r="L41" s="280"/>
      <c r="M41" s="280"/>
      <c r="N41" s="259"/>
    </row>
    <row r="42" spans="1:14" ht="27" customHeight="1" thickBot="1" x14ac:dyDescent="0.45">
      <c r="A42" s="287" t="s">
        <v>69</v>
      </c>
      <c r="B42" s="288">
        <v>1</v>
      </c>
      <c r="C42" s="308" t="s">
        <v>70</v>
      </c>
      <c r="D42" s="309">
        <f>AVERAGE(D38:D41)</f>
        <v>11233203</v>
      </c>
      <c r="E42" s="310">
        <f>AVERAGE(E38:E41)</f>
        <v>6850075.3964227317</v>
      </c>
      <c r="F42" s="309">
        <f>AVERAGE(F38:F41)</f>
        <v>10590589.333333334</v>
      </c>
      <c r="G42" s="311">
        <f>AVERAGE(G38:G41)</f>
        <v>6904873.052160468</v>
      </c>
      <c r="H42" s="312"/>
    </row>
    <row r="43" spans="1:14" ht="26.25" customHeight="1" x14ac:dyDescent="0.4">
      <c r="A43" s="287" t="s">
        <v>71</v>
      </c>
      <c r="B43" s="288">
        <v>1</v>
      </c>
      <c r="C43" s="313" t="s">
        <v>72</v>
      </c>
      <c r="D43" s="314">
        <v>20.56</v>
      </c>
      <c r="E43" s="259"/>
      <c r="F43" s="314">
        <v>19.23</v>
      </c>
      <c r="H43" s="312"/>
    </row>
    <row r="44" spans="1:14" ht="26.25" customHeight="1" x14ac:dyDescent="0.4">
      <c r="A44" s="287" t="s">
        <v>73</v>
      </c>
      <c r="B44" s="288">
        <v>1</v>
      </c>
      <c r="C44" s="315" t="s">
        <v>74</v>
      </c>
      <c r="D44" s="316">
        <f>D43*$B$34</f>
        <v>20.56</v>
      </c>
      <c r="E44" s="317"/>
      <c r="F44" s="316">
        <f>F43*$B$34</f>
        <v>19.23</v>
      </c>
      <c r="H44" s="312"/>
    </row>
    <row r="45" spans="1:14" ht="19.5" customHeight="1" thickBot="1" x14ac:dyDescent="0.35">
      <c r="A45" s="287" t="s">
        <v>75</v>
      </c>
      <c r="B45" s="299">
        <f>(B44/B43)*(B42/B41)*(B40/B39)*(B38/B37)*B36</f>
        <v>625</v>
      </c>
      <c r="C45" s="315" t="s">
        <v>76</v>
      </c>
      <c r="D45" s="318">
        <f>D44*$B$30/100</f>
        <v>20.49832</v>
      </c>
      <c r="E45" s="319"/>
      <c r="F45" s="318">
        <f>F44*$B$30/100</f>
        <v>19.17231</v>
      </c>
      <c r="H45" s="312"/>
    </row>
    <row r="46" spans="1:14" ht="19.5" customHeight="1" thickBot="1" x14ac:dyDescent="0.35">
      <c r="A46" s="474" t="s">
        <v>77</v>
      </c>
      <c r="B46" s="478"/>
      <c r="C46" s="315" t="s">
        <v>78</v>
      </c>
      <c r="D46" s="320">
        <f>D45/$B$45</f>
        <v>3.2797312000000002E-2</v>
      </c>
      <c r="E46" s="321"/>
      <c r="F46" s="322">
        <f>F45/$B$45</f>
        <v>3.0675695999999999E-2</v>
      </c>
      <c r="H46" s="312"/>
    </row>
    <row r="47" spans="1:14" ht="27" customHeight="1" thickBot="1" x14ac:dyDescent="0.45">
      <c r="A47" s="476"/>
      <c r="B47" s="479"/>
      <c r="C47" s="323" t="s">
        <v>79</v>
      </c>
      <c r="D47" s="324">
        <v>0.02</v>
      </c>
      <c r="E47" s="325"/>
      <c r="F47" s="321"/>
      <c r="H47" s="312"/>
    </row>
    <row r="48" spans="1:14" ht="18.75" x14ac:dyDescent="0.3">
      <c r="C48" s="326" t="s">
        <v>80</v>
      </c>
      <c r="D48" s="318">
        <f>D47*$B$45</f>
        <v>12.5</v>
      </c>
      <c r="F48" s="327"/>
      <c r="H48" s="312"/>
    </row>
    <row r="49" spans="1:12" ht="19.5" customHeight="1" thickBot="1" x14ac:dyDescent="0.35">
      <c r="C49" s="328" t="s">
        <v>81</v>
      </c>
      <c r="D49" s="329">
        <f>D48/B34</f>
        <v>12.5</v>
      </c>
      <c r="F49" s="327"/>
      <c r="H49" s="312"/>
    </row>
    <row r="50" spans="1:12" ht="18.75" x14ac:dyDescent="0.3">
      <c r="C50" s="285" t="s">
        <v>82</v>
      </c>
      <c r="D50" s="330">
        <f>AVERAGE(E38:E41,G38:G41)</f>
        <v>6877474.2242916003</v>
      </c>
      <c r="F50" s="331"/>
      <c r="H50" s="312"/>
    </row>
    <row r="51" spans="1:12" ht="18.75" x14ac:dyDescent="0.3">
      <c r="C51" s="287" t="s">
        <v>83</v>
      </c>
      <c r="D51" s="332">
        <f>STDEV(E38:E41,G38:G41)/D50</f>
        <v>4.9902014837923982E-3</v>
      </c>
      <c r="F51" s="331"/>
      <c r="H51" s="312"/>
    </row>
    <row r="52" spans="1:12" ht="19.5" customHeight="1" thickBot="1" x14ac:dyDescent="0.35">
      <c r="C52" s="333" t="s">
        <v>20</v>
      </c>
      <c r="D52" s="334">
        <f>COUNT(E38:E41,G38:G41)</f>
        <v>6</v>
      </c>
      <c r="F52" s="331"/>
    </row>
    <row r="54" spans="1:12" ht="18.75" x14ac:dyDescent="0.3">
      <c r="A54" s="335" t="s">
        <v>1</v>
      </c>
      <c r="B54" s="336" t="s">
        <v>84</v>
      </c>
    </row>
    <row r="55" spans="1:12" ht="18.75" x14ac:dyDescent="0.3">
      <c r="A55" s="259" t="s">
        <v>85</v>
      </c>
      <c r="B55" s="337" t="str">
        <f>B21</f>
        <v>Each tablets contains Trimethoprim B.P 160 mg, Sulfamethoxazole 800 mg</v>
      </c>
    </row>
    <row r="56" spans="1:12" ht="26.25" customHeight="1" x14ac:dyDescent="0.4">
      <c r="A56" s="337" t="s">
        <v>86</v>
      </c>
      <c r="B56" s="338">
        <v>160</v>
      </c>
      <c r="C56" s="259" t="str">
        <f>B20</f>
        <v>Trimethoprim</v>
      </c>
      <c r="H56" s="317"/>
    </row>
    <row r="57" spans="1:12" ht="18.75" x14ac:dyDescent="0.3">
      <c r="A57" s="337" t="s">
        <v>87</v>
      </c>
      <c r="B57" s="339">
        <f>Uniformity!C46</f>
        <v>1043.6685000000002</v>
      </c>
      <c r="H57" s="317"/>
    </row>
    <row r="58" spans="1:12" ht="19.5" customHeight="1" thickBot="1" x14ac:dyDescent="0.35">
      <c r="H58" s="317"/>
    </row>
    <row r="59" spans="1:12" s="274" customFormat="1" ht="27" customHeight="1" thickBot="1" x14ac:dyDescent="0.45">
      <c r="A59" s="285" t="s">
        <v>88</v>
      </c>
      <c r="B59" s="286">
        <v>100</v>
      </c>
      <c r="C59" s="259"/>
      <c r="D59" s="340" t="s">
        <v>89</v>
      </c>
      <c r="E59" s="341" t="s">
        <v>61</v>
      </c>
      <c r="F59" s="341" t="s">
        <v>62</v>
      </c>
      <c r="G59" s="341" t="s">
        <v>90</v>
      </c>
      <c r="H59" s="289" t="s">
        <v>91</v>
      </c>
      <c r="L59" s="275"/>
    </row>
    <row r="60" spans="1:12" s="274" customFormat="1" ht="26.25" customHeight="1" x14ac:dyDescent="0.4">
      <c r="A60" s="287" t="s">
        <v>92</v>
      </c>
      <c r="B60" s="288">
        <v>1</v>
      </c>
      <c r="C60" s="491" t="s">
        <v>93</v>
      </c>
      <c r="D60" s="455">
        <v>1046.6300000000001</v>
      </c>
      <c r="E60" s="342">
        <v>1</v>
      </c>
      <c r="F60" s="343">
        <v>10836748</v>
      </c>
      <c r="G60" s="344">
        <f>IF(ISBLANK(F60),"-",(F60/$D$50*$D$47*$B$68)*($B$57/$D$60))</f>
        <v>157.12286871003951</v>
      </c>
      <c r="H60" s="345">
        <f t="shared" ref="H60:H71" si="0">IF(ISBLANK(F60),"-",G60/$B$56)</f>
        <v>0.98201792943774691</v>
      </c>
      <c r="L60" s="275"/>
    </row>
    <row r="61" spans="1:12" s="274" customFormat="1" ht="26.25" customHeight="1" x14ac:dyDescent="0.4">
      <c r="A61" s="287" t="s">
        <v>94</v>
      </c>
      <c r="B61" s="288">
        <v>50</v>
      </c>
      <c r="C61" s="492"/>
      <c r="D61" s="456"/>
      <c r="E61" s="346">
        <v>2</v>
      </c>
      <c r="F61" s="300"/>
      <c r="G61" s="347" t="str">
        <f>IF(ISBLANK(F61),"-",(F61/$D$50*$D$47*$B$68)*($B$57/$D$60))</f>
        <v>-</v>
      </c>
      <c r="H61" s="348" t="str">
        <f t="shared" si="0"/>
        <v>-</v>
      </c>
      <c r="L61" s="275"/>
    </row>
    <row r="62" spans="1:12" s="274" customFormat="1" ht="26.25" customHeight="1" x14ac:dyDescent="0.4">
      <c r="A62" s="287" t="s">
        <v>95</v>
      </c>
      <c r="B62" s="288">
        <v>1</v>
      </c>
      <c r="C62" s="492"/>
      <c r="D62" s="456"/>
      <c r="E62" s="346">
        <v>3</v>
      </c>
      <c r="F62" s="349"/>
      <c r="G62" s="347" t="str">
        <f>IF(ISBLANK(F62),"-",(F62/$D$50*$D$47*$B$68)*($B$57/$D$60))</f>
        <v>-</v>
      </c>
      <c r="H62" s="348" t="str">
        <f t="shared" si="0"/>
        <v>-</v>
      </c>
      <c r="L62" s="275"/>
    </row>
    <row r="63" spans="1:12" ht="27" customHeight="1" thickBot="1" x14ac:dyDescent="0.45">
      <c r="A63" s="287" t="s">
        <v>96</v>
      </c>
      <c r="B63" s="288">
        <v>1</v>
      </c>
      <c r="C63" s="493"/>
      <c r="D63" s="457"/>
      <c r="E63" s="350">
        <v>4</v>
      </c>
      <c r="F63" s="351"/>
      <c r="G63" s="347" t="str">
        <f>IF(ISBLANK(F63),"-",(F63/$D$50*$D$47*$B$68)*($B$57/$D$60))</f>
        <v>-</v>
      </c>
      <c r="H63" s="348" t="str">
        <f t="shared" si="0"/>
        <v>-</v>
      </c>
    </row>
    <row r="64" spans="1:12" ht="26.25" customHeight="1" x14ac:dyDescent="0.4">
      <c r="A64" s="287" t="s">
        <v>97</v>
      </c>
      <c r="B64" s="288">
        <v>1</v>
      </c>
      <c r="C64" s="491" t="s">
        <v>98</v>
      </c>
      <c r="D64" s="455">
        <v>1041.79</v>
      </c>
      <c r="E64" s="342">
        <v>1</v>
      </c>
      <c r="F64" s="343">
        <v>11307923</v>
      </c>
      <c r="G64" s="352">
        <f>IF(ISBLANK(F64),"-",(F64/$D$50*$D$47*$B$68)*($B$57/$D$64))</f>
        <v>164.7161802780999</v>
      </c>
      <c r="H64" s="353">
        <f t="shared" si="0"/>
        <v>1.0294761267381243</v>
      </c>
    </row>
    <row r="65" spans="1:8" ht="26.25" customHeight="1" x14ac:dyDescent="0.4">
      <c r="A65" s="287" t="s">
        <v>99</v>
      </c>
      <c r="B65" s="288">
        <v>1</v>
      </c>
      <c r="C65" s="492"/>
      <c r="D65" s="456"/>
      <c r="E65" s="346">
        <v>2</v>
      </c>
      <c r="F65" s="300">
        <v>11281243</v>
      </c>
      <c r="G65" s="354">
        <f>IF(ISBLANK(F65),"-",(F65/$D$50*$D$47*$B$68)*($B$57/$D$64))</f>
        <v>164.32754766273635</v>
      </c>
      <c r="H65" s="355">
        <f t="shared" si="0"/>
        <v>1.0270471728921022</v>
      </c>
    </row>
    <row r="66" spans="1:8" ht="26.25" customHeight="1" x14ac:dyDescent="0.4">
      <c r="A66" s="287" t="s">
        <v>100</v>
      </c>
      <c r="B66" s="288">
        <v>1</v>
      </c>
      <c r="C66" s="492"/>
      <c r="D66" s="456"/>
      <c r="E66" s="346">
        <v>3</v>
      </c>
      <c r="F66" s="300">
        <v>11291077</v>
      </c>
      <c r="G66" s="354">
        <f>IF(ISBLANK(F66),"-",(F66/$D$50*$D$47*$B$68)*($B$57/$D$64))</f>
        <v>164.47079403228227</v>
      </c>
      <c r="H66" s="355">
        <f t="shared" si="0"/>
        <v>1.0279424627017641</v>
      </c>
    </row>
    <row r="67" spans="1:8" ht="27" customHeight="1" thickBot="1" x14ac:dyDescent="0.45">
      <c r="A67" s="287" t="s">
        <v>101</v>
      </c>
      <c r="B67" s="288">
        <v>1</v>
      </c>
      <c r="C67" s="493"/>
      <c r="D67" s="457"/>
      <c r="E67" s="350">
        <v>4</v>
      </c>
      <c r="F67" s="351"/>
      <c r="G67" s="356" t="str">
        <f>IF(ISBLANK(F67),"-",(F67/$D$50*$D$47*$B$68)*($B$57/$D$64))</f>
        <v>-</v>
      </c>
      <c r="H67" s="357" t="str">
        <f t="shared" si="0"/>
        <v>-</v>
      </c>
    </row>
    <row r="68" spans="1:8" ht="26.25" customHeight="1" x14ac:dyDescent="0.4">
      <c r="A68" s="287" t="s">
        <v>102</v>
      </c>
      <c r="B68" s="358">
        <f>(B67/B66)*(B65/B64)*(B63/B62)*(B61/B60)*B59</f>
        <v>5000</v>
      </c>
      <c r="C68" s="491" t="s">
        <v>103</v>
      </c>
      <c r="D68" s="455">
        <v>1043.3</v>
      </c>
      <c r="E68" s="342">
        <v>1</v>
      </c>
      <c r="F68" s="343">
        <v>11284080</v>
      </c>
      <c r="G68" s="352">
        <f>IF(ISBLANK(F68),"-",(F68/$D$50*$D$47*$B$68)*($B$57/$D$68))</f>
        <v>164.13097655589084</v>
      </c>
      <c r="H68" s="348">
        <f t="shared" si="0"/>
        <v>1.0258186034743177</v>
      </c>
    </row>
    <row r="69" spans="1:8" ht="27" customHeight="1" thickBot="1" x14ac:dyDescent="0.45">
      <c r="A69" s="333" t="s">
        <v>104</v>
      </c>
      <c r="B69" s="359">
        <f>(D47*B68)/B56*B57</f>
        <v>652.29281250000008</v>
      </c>
      <c r="C69" s="492"/>
      <c r="D69" s="456"/>
      <c r="E69" s="346">
        <v>2</v>
      </c>
      <c r="F69" s="300">
        <v>11255334</v>
      </c>
      <c r="G69" s="354">
        <f>IF(ISBLANK(F69),"-",(F69/$D$50*$D$47*$B$68)*($B$57/$D$68))</f>
        <v>163.71285571200499</v>
      </c>
      <c r="H69" s="348">
        <f t="shared" si="0"/>
        <v>1.0232053482000312</v>
      </c>
    </row>
    <row r="70" spans="1:8" ht="26.25" customHeight="1" x14ac:dyDescent="0.4">
      <c r="A70" s="495" t="s">
        <v>77</v>
      </c>
      <c r="B70" s="496"/>
      <c r="C70" s="492"/>
      <c r="D70" s="456"/>
      <c r="E70" s="346">
        <v>3</v>
      </c>
      <c r="F70" s="300">
        <v>11267559</v>
      </c>
      <c r="G70" s="354">
        <f>IF(ISBLANK(F70),"-",(F70/$D$50*$D$47*$B$68)*($B$57/$D$68))</f>
        <v>163.89067270624784</v>
      </c>
      <c r="H70" s="348">
        <f t="shared" si="0"/>
        <v>1.0243167044140491</v>
      </c>
    </row>
    <row r="71" spans="1:8" ht="27" customHeight="1" thickBot="1" x14ac:dyDescent="0.45">
      <c r="A71" s="497"/>
      <c r="B71" s="498"/>
      <c r="C71" s="494"/>
      <c r="D71" s="457"/>
      <c r="E71" s="350">
        <v>4</v>
      </c>
      <c r="F71" s="351"/>
      <c r="G71" s="356" t="str">
        <f>IF(ISBLANK(F71),"-",(F71/$D$50*$D$47*$B$68)*($B$57/$D$68))</f>
        <v>-</v>
      </c>
      <c r="H71" s="360" t="str">
        <f t="shared" si="0"/>
        <v>-</v>
      </c>
    </row>
    <row r="72" spans="1:8" ht="26.25" customHeight="1" x14ac:dyDescent="0.4">
      <c r="A72" s="317"/>
      <c r="B72" s="317"/>
      <c r="C72" s="317"/>
      <c r="D72" s="317"/>
      <c r="E72" s="317"/>
      <c r="F72" s="361" t="s">
        <v>70</v>
      </c>
      <c r="G72" s="362">
        <f>AVERAGE(G60:G71)</f>
        <v>163.19598509390022</v>
      </c>
      <c r="H72" s="363">
        <f>AVERAGE(H60:H71)</f>
        <v>1.0199749068368766</v>
      </c>
    </row>
    <row r="73" spans="1:8" ht="26.25" customHeight="1" x14ac:dyDescent="0.4">
      <c r="C73" s="317"/>
      <c r="D73" s="317"/>
      <c r="E73" s="317"/>
      <c r="F73" s="364" t="s">
        <v>83</v>
      </c>
      <c r="G73" s="365">
        <f>STDEV(G60:G71)/G72</f>
        <v>1.6541358966999282E-2</v>
      </c>
      <c r="H73" s="365">
        <f>STDEV(H60:H71)/H72</f>
        <v>1.6541358966999289E-2</v>
      </c>
    </row>
    <row r="74" spans="1:8" ht="27" customHeight="1" thickBot="1" x14ac:dyDescent="0.45">
      <c r="A74" s="317"/>
      <c r="B74" s="317"/>
      <c r="C74" s="317"/>
      <c r="D74" s="317"/>
      <c r="E74" s="319"/>
      <c r="F74" s="366" t="s">
        <v>20</v>
      </c>
      <c r="G74" s="367">
        <f>COUNT(G60:G71)</f>
        <v>7</v>
      </c>
      <c r="H74" s="367">
        <f>COUNT(H60:H71)</f>
        <v>7</v>
      </c>
    </row>
    <row r="76" spans="1:8" ht="26.25" customHeight="1" x14ac:dyDescent="0.4">
      <c r="A76" s="270" t="s">
        <v>105</v>
      </c>
      <c r="B76" s="271" t="s">
        <v>106</v>
      </c>
      <c r="C76" s="480" t="str">
        <f>B20</f>
        <v>Trimethoprim</v>
      </c>
      <c r="D76" s="480"/>
      <c r="E76" s="259" t="s">
        <v>107</v>
      </c>
      <c r="F76" s="259"/>
      <c r="G76" s="368">
        <f>H72</f>
        <v>1.0199749068368766</v>
      </c>
      <c r="H76" s="276"/>
    </row>
    <row r="77" spans="1:8" ht="18.75" x14ac:dyDescent="0.3">
      <c r="A77" s="269" t="s">
        <v>108</v>
      </c>
      <c r="B77" s="269" t="s">
        <v>109</v>
      </c>
    </row>
    <row r="78" spans="1:8" ht="18.75" x14ac:dyDescent="0.3">
      <c r="A78" s="269"/>
      <c r="B78" s="269"/>
    </row>
    <row r="79" spans="1:8" ht="26.25" customHeight="1" x14ac:dyDescent="0.4">
      <c r="A79" s="270" t="s">
        <v>4</v>
      </c>
      <c r="B79" s="482" t="str">
        <f>B26</f>
        <v>Trimethoprim</v>
      </c>
      <c r="C79" s="482"/>
    </row>
    <row r="80" spans="1:8" ht="26.25" customHeight="1" x14ac:dyDescent="0.4">
      <c r="A80" s="271" t="s">
        <v>47</v>
      </c>
      <c r="B80" s="482" t="str">
        <f>B27</f>
        <v>T 7 3</v>
      </c>
      <c r="C80" s="482"/>
    </row>
    <row r="81" spans="1:12" ht="27" customHeight="1" thickBot="1" x14ac:dyDescent="0.45">
      <c r="A81" s="271" t="s">
        <v>6</v>
      </c>
      <c r="B81" s="272">
        <f>B28</f>
        <v>99.7</v>
      </c>
    </row>
    <row r="82" spans="1:12" s="274" customFormat="1" ht="27" customHeight="1" thickBot="1" x14ac:dyDescent="0.45">
      <c r="A82" s="271" t="s">
        <v>48</v>
      </c>
      <c r="B82" s="273">
        <v>0</v>
      </c>
      <c r="C82" s="483" t="s">
        <v>49</v>
      </c>
      <c r="D82" s="484"/>
      <c r="E82" s="484"/>
      <c r="F82" s="484"/>
      <c r="G82" s="485"/>
      <c r="I82" s="275"/>
      <c r="J82" s="275"/>
      <c r="K82" s="275"/>
      <c r="L82" s="275"/>
    </row>
    <row r="83" spans="1:12" s="274" customFormat="1" ht="19.5" customHeight="1" thickBot="1" x14ac:dyDescent="0.35">
      <c r="A83" s="271" t="s">
        <v>50</v>
      </c>
      <c r="B83" s="276">
        <f>B81-B82</f>
        <v>99.7</v>
      </c>
      <c r="C83" s="277"/>
      <c r="D83" s="277"/>
      <c r="E83" s="277"/>
      <c r="F83" s="277"/>
      <c r="G83" s="278"/>
      <c r="I83" s="275"/>
      <c r="J83" s="275"/>
      <c r="K83" s="275"/>
      <c r="L83" s="275"/>
    </row>
    <row r="84" spans="1:12" s="274" customFormat="1" ht="27" customHeight="1" thickBot="1" x14ac:dyDescent="0.45">
      <c r="A84" s="271" t="s">
        <v>51</v>
      </c>
      <c r="B84" s="279">
        <v>1</v>
      </c>
      <c r="C84" s="486" t="s">
        <v>110</v>
      </c>
      <c r="D84" s="487"/>
      <c r="E84" s="487"/>
      <c r="F84" s="487"/>
      <c r="G84" s="487"/>
      <c r="H84" s="488"/>
      <c r="I84" s="275"/>
      <c r="J84" s="275"/>
      <c r="K84" s="275"/>
      <c r="L84" s="275"/>
    </row>
    <row r="85" spans="1:12" s="274" customFormat="1" ht="27" customHeight="1" thickBot="1" x14ac:dyDescent="0.45">
      <c r="A85" s="271" t="s">
        <v>53</v>
      </c>
      <c r="B85" s="279">
        <v>1</v>
      </c>
      <c r="C85" s="486" t="s">
        <v>111</v>
      </c>
      <c r="D85" s="487"/>
      <c r="E85" s="487"/>
      <c r="F85" s="487"/>
      <c r="G85" s="487"/>
      <c r="H85" s="488"/>
      <c r="I85" s="275"/>
      <c r="J85" s="275"/>
      <c r="K85" s="275"/>
      <c r="L85" s="275"/>
    </row>
    <row r="86" spans="1:12" s="274" customFormat="1" ht="18.75" x14ac:dyDescent="0.3">
      <c r="A86" s="271"/>
      <c r="B86" s="282"/>
      <c r="C86" s="283"/>
      <c r="D86" s="283"/>
      <c r="E86" s="283"/>
      <c r="F86" s="283"/>
      <c r="G86" s="283"/>
      <c r="H86" s="283"/>
      <c r="I86" s="275"/>
      <c r="J86" s="275"/>
      <c r="K86" s="275"/>
      <c r="L86" s="275"/>
    </row>
    <row r="87" spans="1:12" s="274" customFormat="1" ht="18.75" x14ac:dyDescent="0.3">
      <c r="A87" s="271" t="s">
        <v>55</v>
      </c>
      <c r="B87" s="284">
        <f>B84/B85</f>
        <v>1</v>
      </c>
      <c r="C87" s="259" t="s">
        <v>56</v>
      </c>
      <c r="D87" s="259"/>
      <c r="E87" s="259"/>
      <c r="F87" s="259"/>
      <c r="G87" s="259"/>
      <c r="I87" s="275"/>
      <c r="J87" s="275"/>
      <c r="K87" s="275"/>
      <c r="L87" s="275"/>
    </row>
    <row r="88" spans="1:12" ht="19.5" customHeight="1" thickBot="1" x14ac:dyDescent="0.35">
      <c r="A88" s="269"/>
      <c r="B88" s="269"/>
    </row>
    <row r="89" spans="1:12" ht="27" customHeight="1" thickBot="1" x14ac:dyDescent="0.45">
      <c r="A89" s="285" t="s">
        <v>57</v>
      </c>
      <c r="B89" s="286">
        <v>25</v>
      </c>
      <c r="D89" s="369" t="s">
        <v>58</v>
      </c>
      <c r="E89" s="370"/>
      <c r="F89" s="489" t="s">
        <v>59</v>
      </c>
      <c r="G89" s="490"/>
    </row>
    <row r="90" spans="1:12" ht="27" customHeight="1" thickBot="1" x14ac:dyDescent="0.45">
      <c r="A90" s="287" t="s">
        <v>60</v>
      </c>
      <c r="B90" s="288">
        <v>1</v>
      </c>
      <c r="C90" s="371" t="s">
        <v>61</v>
      </c>
      <c r="D90" s="290" t="s">
        <v>62</v>
      </c>
      <c r="E90" s="291" t="s">
        <v>63</v>
      </c>
      <c r="F90" s="290" t="s">
        <v>62</v>
      </c>
      <c r="G90" s="372" t="s">
        <v>63</v>
      </c>
      <c r="I90" s="293" t="s">
        <v>64</v>
      </c>
    </row>
    <row r="91" spans="1:12" ht="26.25" customHeight="1" x14ac:dyDescent="0.4">
      <c r="A91" s="287" t="s">
        <v>65</v>
      </c>
      <c r="B91" s="288">
        <v>25</v>
      </c>
      <c r="C91" s="373">
        <v>1</v>
      </c>
      <c r="D91" s="295">
        <v>10999293</v>
      </c>
      <c r="E91" s="296">
        <f>IF(ISBLANK(D91),"-",$D$101/$D$98*D91)</f>
        <v>11924330.058918649</v>
      </c>
      <c r="F91" s="295">
        <v>10355934</v>
      </c>
      <c r="G91" s="297">
        <f>IF(ISBLANK(F91),"-",$D$101/$F$98*F91)</f>
        <v>12003345.797489539</v>
      </c>
      <c r="I91" s="298"/>
    </row>
    <row r="92" spans="1:12" ht="26.25" customHeight="1" x14ac:dyDescent="0.4">
      <c r="A92" s="287" t="s">
        <v>66</v>
      </c>
      <c r="B92" s="288">
        <v>1</v>
      </c>
      <c r="C92" s="317">
        <v>2</v>
      </c>
      <c r="D92" s="300">
        <v>11063437</v>
      </c>
      <c r="E92" s="301">
        <f>IF(ISBLANK(D92),"-",$D$101/$D$98*D92)</f>
        <v>11993868.549010629</v>
      </c>
      <c r="F92" s="300">
        <v>10326921</v>
      </c>
      <c r="G92" s="302">
        <f>IF(ISBLANK(F92),"-",$D$101/$F$98*F92)</f>
        <v>11969717.437978694</v>
      </c>
      <c r="I92" s="473">
        <f>ABS((F96/D96*D95)-F95)/D95</f>
        <v>8.7424226866038659E-4</v>
      </c>
    </row>
    <row r="93" spans="1:12" ht="26.25" customHeight="1" x14ac:dyDescent="0.4">
      <c r="A93" s="287" t="s">
        <v>67</v>
      </c>
      <c r="B93" s="288">
        <v>1</v>
      </c>
      <c r="C93" s="317">
        <v>3</v>
      </c>
      <c r="D93" s="300">
        <v>11100781</v>
      </c>
      <c r="E93" s="301">
        <f>IF(ISBLANK(D93),"-",$D$101/$D$98*D93)</f>
        <v>12034353.1675875</v>
      </c>
      <c r="F93" s="300">
        <v>10364344</v>
      </c>
      <c r="G93" s="302">
        <f>IF(ISBLANK(F93),"-",$D$101/$F$98*F93)</f>
        <v>12013093.652019789</v>
      </c>
      <c r="I93" s="473"/>
    </row>
    <row r="94" spans="1:12" ht="27" customHeight="1" thickBot="1" x14ac:dyDescent="0.45">
      <c r="A94" s="287" t="s">
        <v>68</v>
      </c>
      <c r="B94" s="288">
        <v>1</v>
      </c>
      <c r="C94" s="374">
        <v>4</v>
      </c>
      <c r="D94" s="304"/>
      <c r="E94" s="305" t="str">
        <f>IF(ISBLANK(D94),"-",$D$101/$D$98*D94)</f>
        <v>-</v>
      </c>
      <c r="F94" s="375"/>
      <c r="G94" s="306" t="str">
        <f>IF(ISBLANK(F94),"-",$D$101/$F$98*F94)</f>
        <v>-</v>
      </c>
      <c r="I94" s="307"/>
    </row>
    <row r="95" spans="1:12" ht="27" customHeight="1" thickBot="1" x14ac:dyDescent="0.45">
      <c r="A95" s="287" t="s">
        <v>69</v>
      </c>
      <c r="B95" s="288">
        <v>1</v>
      </c>
      <c r="C95" s="271" t="s">
        <v>70</v>
      </c>
      <c r="D95" s="376">
        <f>AVERAGE(D91:D94)</f>
        <v>11054503.666666666</v>
      </c>
      <c r="E95" s="310">
        <f>AVERAGE(E91:E94)</f>
        <v>11984183.92517226</v>
      </c>
      <c r="F95" s="377">
        <f>AVERAGE(F91:F94)</f>
        <v>10349066.333333334</v>
      </c>
      <c r="G95" s="378">
        <f>AVERAGE(G91:G94)</f>
        <v>11995385.629162675</v>
      </c>
    </row>
    <row r="96" spans="1:12" ht="26.25" customHeight="1" x14ac:dyDescent="0.4">
      <c r="A96" s="287" t="s">
        <v>71</v>
      </c>
      <c r="B96" s="272">
        <v>1</v>
      </c>
      <c r="C96" s="379" t="s">
        <v>112</v>
      </c>
      <c r="D96" s="380">
        <v>20.56</v>
      </c>
      <c r="E96" s="259"/>
      <c r="F96" s="314">
        <v>19.23</v>
      </c>
    </row>
    <row r="97" spans="1:10" ht="26.25" customHeight="1" x14ac:dyDescent="0.4">
      <c r="A97" s="287" t="s">
        <v>73</v>
      </c>
      <c r="B97" s="272">
        <v>1</v>
      </c>
      <c r="C97" s="381" t="s">
        <v>113</v>
      </c>
      <c r="D97" s="382">
        <f>D96*$B$87</f>
        <v>20.56</v>
      </c>
      <c r="E97" s="317"/>
      <c r="F97" s="316">
        <f>F96*$B$87</f>
        <v>19.23</v>
      </c>
    </row>
    <row r="98" spans="1:10" ht="19.5" customHeight="1" thickBot="1" x14ac:dyDescent="0.35">
      <c r="A98" s="287" t="s">
        <v>75</v>
      </c>
      <c r="B98" s="317">
        <f>(B97/B96)*(B95/B94)*(B93/B92)*(B91/B90)*B89</f>
        <v>625</v>
      </c>
      <c r="C98" s="381" t="s">
        <v>114</v>
      </c>
      <c r="D98" s="383">
        <f>D97*$B$83/100</f>
        <v>20.49832</v>
      </c>
      <c r="E98" s="319"/>
      <c r="F98" s="318">
        <f>F97*$B$83/100</f>
        <v>19.17231</v>
      </c>
    </row>
    <row r="99" spans="1:10" ht="19.5" customHeight="1" thickBot="1" x14ac:dyDescent="0.35">
      <c r="A99" s="474" t="s">
        <v>77</v>
      </c>
      <c r="B99" s="475"/>
      <c r="C99" s="381" t="s">
        <v>115</v>
      </c>
      <c r="D99" s="384">
        <f>D98/$B$98</f>
        <v>3.2797312000000002E-2</v>
      </c>
      <c r="E99" s="319"/>
      <c r="F99" s="322">
        <f>F98/$B$98</f>
        <v>3.0675695999999999E-2</v>
      </c>
      <c r="H99" s="312"/>
    </row>
    <row r="100" spans="1:10" ht="19.5" customHeight="1" thickBot="1" x14ac:dyDescent="0.35">
      <c r="A100" s="476"/>
      <c r="B100" s="477"/>
      <c r="C100" s="381" t="s">
        <v>79</v>
      </c>
      <c r="D100" s="385">
        <f>$B$56/$B$116</f>
        <v>3.5555555555555556E-2</v>
      </c>
      <c r="F100" s="327"/>
      <c r="G100" s="386"/>
      <c r="H100" s="312"/>
    </row>
    <row r="101" spans="1:10" ht="18.75" x14ac:dyDescent="0.3">
      <c r="C101" s="381" t="s">
        <v>80</v>
      </c>
      <c r="D101" s="382">
        <f>D100*$B$98</f>
        <v>22.222222222222221</v>
      </c>
      <c r="F101" s="327"/>
      <c r="H101" s="312"/>
    </row>
    <row r="102" spans="1:10" ht="19.5" customHeight="1" thickBot="1" x14ac:dyDescent="0.35">
      <c r="C102" s="387" t="s">
        <v>81</v>
      </c>
      <c r="D102" s="388">
        <f>D101/B34</f>
        <v>22.222222222222221</v>
      </c>
      <c r="F102" s="331"/>
      <c r="H102" s="312"/>
      <c r="J102" s="389"/>
    </row>
    <row r="103" spans="1:10" ht="18.75" x14ac:dyDescent="0.3">
      <c r="C103" s="390" t="s">
        <v>116</v>
      </c>
      <c r="D103" s="391">
        <f>AVERAGE(E91:E94,G91:G94)</f>
        <v>11989784.777167467</v>
      </c>
      <c r="F103" s="331"/>
      <c r="G103" s="386"/>
      <c r="H103" s="312"/>
      <c r="J103" s="392"/>
    </row>
    <row r="104" spans="1:10" ht="18.75" x14ac:dyDescent="0.3">
      <c r="C104" s="364" t="s">
        <v>83</v>
      </c>
      <c r="D104" s="393">
        <f>STDEV(E91:E94,G91:G94)/D103</f>
        <v>3.2123645782348425E-3</v>
      </c>
      <c r="F104" s="331"/>
      <c r="H104" s="312"/>
      <c r="J104" s="392"/>
    </row>
    <row r="105" spans="1:10" ht="19.5" customHeight="1" thickBot="1" x14ac:dyDescent="0.35">
      <c r="C105" s="366" t="s">
        <v>20</v>
      </c>
      <c r="D105" s="394">
        <f>COUNT(E91:E94,G91:G94)</f>
        <v>6</v>
      </c>
      <c r="F105" s="331"/>
      <c r="H105" s="312"/>
      <c r="J105" s="392"/>
    </row>
    <row r="106" spans="1:10" ht="19.5" customHeight="1" thickBot="1" x14ac:dyDescent="0.35">
      <c r="A106" s="335"/>
      <c r="B106" s="335"/>
      <c r="C106" s="335"/>
      <c r="D106" s="335"/>
      <c r="E106" s="335"/>
    </row>
    <row r="107" spans="1:10" ht="26.25" customHeight="1" x14ac:dyDescent="0.4">
      <c r="A107" s="285" t="s">
        <v>117</v>
      </c>
      <c r="B107" s="286">
        <v>900</v>
      </c>
      <c r="C107" s="369" t="s">
        <v>118</v>
      </c>
      <c r="D107" s="395" t="s">
        <v>62</v>
      </c>
      <c r="E107" s="396" t="s">
        <v>119</v>
      </c>
      <c r="F107" s="397" t="s">
        <v>120</v>
      </c>
    </row>
    <row r="108" spans="1:10" ht="26.25" customHeight="1" x14ac:dyDescent="0.4">
      <c r="A108" s="287" t="s">
        <v>121</v>
      </c>
      <c r="B108" s="288">
        <v>2</v>
      </c>
      <c r="C108" s="398">
        <v>1</v>
      </c>
      <c r="D108" s="399">
        <v>10709484</v>
      </c>
      <c r="E108" s="400">
        <f t="shared" ref="E108:E113" si="1">IF(ISBLANK(D108),"-",D108/$D$103*$D$100*$B$116)</f>
        <v>142.91477885934253</v>
      </c>
      <c r="F108" s="401">
        <f t="shared" ref="F108:F113" si="2">IF(ISBLANK(D108), "-", E108/$B$56)</f>
        <v>0.89321736787089079</v>
      </c>
    </row>
    <row r="109" spans="1:10" ht="26.25" customHeight="1" x14ac:dyDescent="0.4">
      <c r="A109" s="287" t="s">
        <v>94</v>
      </c>
      <c r="B109" s="288">
        <v>10</v>
      </c>
      <c r="C109" s="398">
        <v>2</v>
      </c>
      <c r="D109" s="399">
        <v>10838195</v>
      </c>
      <c r="E109" s="402">
        <f t="shared" si="1"/>
        <v>144.63238767240622</v>
      </c>
      <c r="F109" s="403">
        <f t="shared" si="2"/>
        <v>0.90395242295253886</v>
      </c>
    </row>
    <row r="110" spans="1:10" ht="26.25" customHeight="1" x14ac:dyDescent="0.4">
      <c r="A110" s="287" t="s">
        <v>95</v>
      </c>
      <c r="B110" s="288">
        <v>1</v>
      </c>
      <c r="C110" s="398">
        <v>3</v>
      </c>
      <c r="D110" s="399">
        <v>10537287</v>
      </c>
      <c r="E110" s="402">
        <f t="shared" si="1"/>
        <v>140.61686271555425</v>
      </c>
      <c r="F110" s="403">
        <f t="shared" si="2"/>
        <v>0.87885539197221407</v>
      </c>
    </row>
    <row r="111" spans="1:10" ht="26.25" customHeight="1" x14ac:dyDescent="0.4">
      <c r="A111" s="287" t="s">
        <v>96</v>
      </c>
      <c r="B111" s="288">
        <v>1</v>
      </c>
      <c r="C111" s="398">
        <v>4</v>
      </c>
      <c r="D111" s="399">
        <v>10195491</v>
      </c>
      <c r="E111" s="402">
        <f t="shared" si="1"/>
        <v>136.05569994104448</v>
      </c>
      <c r="F111" s="403">
        <f t="shared" si="2"/>
        <v>0.85034812463152798</v>
      </c>
    </row>
    <row r="112" spans="1:10" ht="26.25" customHeight="1" x14ac:dyDescent="0.4">
      <c r="A112" s="287" t="s">
        <v>97</v>
      </c>
      <c r="B112" s="288">
        <v>1</v>
      </c>
      <c r="C112" s="398">
        <v>5</v>
      </c>
      <c r="D112" s="399">
        <v>10942299</v>
      </c>
      <c r="E112" s="402">
        <f t="shared" si="1"/>
        <v>146.02162361863606</v>
      </c>
      <c r="F112" s="403">
        <f t="shared" si="2"/>
        <v>0.91263514761647535</v>
      </c>
    </row>
    <row r="113" spans="1:10" ht="26.25" customHeight="1" x14ac:dyDescent="0.4">
      <c r="A113" s="287" t="s">
        <v>99</v>
      </c>
      <c r="B113" s="288">
        <v>1</v>
      </c>
      <c r="C113" s="404">
        <v>6</v>
      </c>
      <c r="D113" s="405">
        <v>10754858</v>
      </c>
      <c r="E113" s="406">
        <f t="shared" si="1"/>
        <v>143.52028097092548</v>
      </c>
      <c r="F113" s="407">
        <f t="shared" si="2"/>
        <v>0.89700175606828425</v>
      </c>
    </row>
    <row r="114" spans="1:10" ht="26.25" customHeight="1" x14ac:dyDescent="0.4">
      <c r="A114" s="287" t="s">
        <v>100</v>
      </c>
      <c r="B114" s="288">
        <v>1</v>
      </c>
      <c r="C114" s="398"/>
      <c r="D114" s="317"/>
      <c r="E114" s="259"/>
      <c r="F114" s="408"/>
    </row>
    <row r="115" spans="1:10" ht="26.25" customHeight="1" x14ac:dyDescent="0.4">
      <c r="A115" s="287" t="s">
        <v>101</v>
      </c>
      <c r="B115" s="288">
        <v>1</v>
      </c>
      <c r="C115" s="398"/>
      <c r="D115" s="409" t="s">
        <v>70</v>
      </c>
      <c r="E115" s="410">
        <f>AVERAGE(E108:E113)</f>
        <v>142.29360562965149</v>
      </c>
      <c r="F115" s="411">
        <f>AVERAGE(F108:F113)</f>
        <v>0.88933503518532175</v>
      </c>
    </row>
    <row r="116" spans="1:10" ht="27" customHeight="1" thickBot="1" x14ac:dyDescent="0.45">
      <c r="A116" s="287" t="s">
        <v>102</v>
      </c>
      <c r="B116" s="299">
        <f>(B115/B114)*(B113/B112)*(B111/B110)*(B109/B108)*B107</f>
        <v>4500</v>
      </c>
      <c r="C116" s="412"/>
      <c r="D116" s="271" t="s">
        <v>83</v>
      </c>
      <c r="E116" s="413">
        <f>STDEV(E108:E113)/E115</f>
        <v>2.4942286267497248E-2</v>
      </c>
      <c r="F116" s="413">
        <f>STDEV(F108:F113)/F115</f>
        <v>2.4942286267497244E-2</v>
      </c>
      <c r="I116" s="259"/>
    </row>
    <row r="117" spans="1:10" ht="27" customHeight="1" thickBot="1" x14ac:dyDescent="0.45">
      <c r="A117" s="474" t="s">
        <v>77</v>
      </c>
      <c r="B117" s="478"/>
      <c r="C117" s="414"/>
      <c r="D117" s="415" t="s">
        <v>20</v>
      </c>
      <c r="E117" s="416">
        <f>COUNT(E108:E113)</f>
        <v>6</v>
      </c>
      <c r="F117" s="416">
        <f>COUNT(F108:F113)</f>
        <v>6</v>
      </c>
      <c r="I117" s="259"/>
      <c r="J117" s="392"/>
    </row>
    <row r="118" spans="1:10" ht="19.5" customHeight="1" thickBot="1" x14ac:dyDescent="0.35">
      <c r="A118" s="476"/>
      <c r="B118" s="479"/>
      <c r="C118" s="259"/>
      <c r="D118" s="259"/>
      <c r="E118" s="259"/>
      <c r="F118" s="317"/>
      <c r="G118" s="259"/>
      <c r="H118" s="259"/>
      <c r="I118" s="259"/>
    </row>
    <row r="119" spans="1:10" ht="18.75" x14ac:dyDescent="0.3">
      <c r="A119" s="417"/>
      <c r="B119" s="283"/>
      <c r="C119" s="259"/>
      <c r="D119" s="259"/>
      <c r="E119" s="259"/>
      <c r="F119" s="317"/>
      <c r="G119" s="259"/>
      <c r="H119" s="259"/>
      <c r="I119" s="259"/>
    </row>
    <row r="120" spans="1:10" ht="26.25" customHeight="1" x14ac:dyDescent="0.4">
      <c r="A120" s="270" t="s">
        <v>105</v>
      </c>
      <c r="B120" s="271" t="s">
        <v>122</v>
      </c>
      <c r="C120" s="480" t="str">
        <f>B20</f>
        <v>Trimethoprim</v>
      </c>
      <c r="D120" s="480"/>
      <c r="E120" s="259" t="s">
        <v>123</v>
      </c>
      <c r="F120" s="259"/>
      <c r="G120" s="368">
        <f>F115</f>
        <v>0.88933503518532175</v>
      </c>
      <c r="H120" s="259"/>
      <c r="I120" s="259"/>
    </row>
    <row r="121" spans="1:10" ht="19.5" customHeight="1" thickBot="1" x14ac:dyDescent="0.35">
      <c r="A121" s="418"/>
      <c r="B121" s="418"/>
      <c r="C121" s="419"/>
      <c r="D121" s="419"/>
      <c r="E121" s="419"/>
      <c r="F121" s="419"/>
      <c r="G121" s="419"/>
      <c r="H121" s="419"/>
    </row>
    <row r="122" spans="1:10" ht="18.75" x14ac:dyDescent="0.3">
      <c r="B122" s="481" t="s">
        <v>25</v>
      </c>
      <c r="C122" s="481"/>
      <c r="E122" s="371" t="s">
        <v>26</v>
      </c>
      <c r="F122" s="420"/>
      <c r="G122" s="481" t="s">
        <v>27</v>
      </c>
      <c r="H122" s="481"/>
    </row>
    <row r="123" spans="1:10" ht="69.95" customHeight="1" x14ac:dyDescent="0.3">
      <c r="A123" s="270" t="s">
        <v>28</v>
      </c>
      <c r="B123" s="421"/>
      <c r="C123" s="421"/>
      <c r="E123" s="421"/>
      <c r="F123" s="259"/>
      <c r="G123" s="421"/>
      <c r="H123" s="421"/>
    </row>
    <row r="124" spans="1:10" ht="69.95" customHeight="1" x14ac:dyDescent="0.3">
      <c r="A124" s="270" t="s">
        <v>29</v>
      </c>
      <c r="B124" s="422"/>
      <c r="C124" s="422"/>
      <c r="E124" s="422"/>
      <c r="F124" s="259"/>
      <c r="G124" s="423"/>
      <c r="H124" s="423"/>
    </row>
    <row r="125" spans="1:10" ht="18.75" x14ac:dyDescent="0.3">
      <c r="A125" s="317"/>
      <c r="B125" s="317"/>
      <c r="C125" s="317"/>
      <c r="D125" s="317"/>
      <c r="E125" s="317"/>
      <c r="F125" s="319"/>
      <c r="G125" s="317"/>
      <c r="H125" s="317"/>
      <c r="I125" s="259"/>
    </row>
    <row r="126" spans="1:10" ht="18.75" x14ac:dyDescent="0.3">
      <c r="A126" s="317"/>
      <c r="B126" s="317"/>
      <c r="C126" s="317"/>
      <c r="D126" s="317"/>
      <c r="E126" s="317"/>
      <c r="F126" s="319"/>
      <c r="G126" s="317"/>
      <c r="H126" s="317"/>
      <c r="I126" s="259"/>
    </row>
    <row r="127" spans="1:10" ht="18.75" x14ac:dyDescent="0.3">
      <c r="A127" s="317"/>
      <c r="B127" s="317"/>
      <c r="C127" s="317"/>
      <c r="D127" s="317"/>
      <c r="E127" s="317"/>
      <c r="F127" s="319"/>
      <c r="G127" s="317"/>
      <c r="H127" s="317"/>
      <c r="I127" s="259"/>
    </row>
    <row r="128" spans="1:10" ht="18.75" x14ac:dyDescent="0.3">
      <c r="A128" s="317"/>
      <c r="B128" s="317"/>
      <c r="C128" s="317"/>
      <c r="D128" s="317"/>
      <c r="E128" s="317"/>
      <c r="F128" s="319"/>
      <c r="G128" s="317"/>
      <c r="H128" s="317"/>
      <c r="I128" s="259"/>
    </row>
    <row r="129" spans="1:9" ht="18.75" x14ac:dyDescent="0.3">
      <c r="A129" s="317"/>
      <c r="B129" s="317"/>
      <c r="C129" s="317"/>
      <c r="D129" s="317"/>
      <c r="E129" s="317"/>
      <c r="F129" s="319"/>
      <c r="G129" s="317"/>
      <c r="H129" s="317"/>
      <c r="I129" s="259"/>
    </row>
    <row r="130" spans="1:9" ht="18.75" x14ac:dyDescent="0.3">
      <c r="A130" s="317"/>
      <c r="B130" s="317"/>
      <c r="C130" s="317"/>
      <c r="D130" s="317"/>
      <c r="E130" s="317"/>
      <c r="F130" s="319"/>
      <c r="G130" s="317"/>
      <c r="H130" s="317"/>
      <c r="I130" s="259"/>
    </row>
    <row r="131" spans="1:9" ht="18.75" x14ac:dyDescent="0.3">
      <c r="A131" s="317"/>
      <c r="B131" s="317"/>
      <c r="C131" s="317"/>
      <c r="D131" s="317"/>
      <c r="E131" s="317"/>
      <c r="F131" s="319"/>
      <c r="G131" s="317"/>
      <c r="H131" s="317"/>
      <c r="I131" s="259"/>
    </row>
    <row r="132" spans="1:9" ht="18.75" x14ac:dyDescent="0.3">
      <c r="A132" s="317"/>
      <c r="B132" s="317"/>
      <c r="C132" s="317"/>
      <c r="D132" s="317"/>
      <c r="E132" s="317"/>
      <c r="F132" s="319"/>
      <c r="G132" s="317"/>
      <c r="H132" s="317"/>
      <c r="I132" s="259"/>
    </row>
    <row r="133" spans="1:9" ht="18.75" x14ac:dyDescent="0.3">
      <c r="A133" s="317"/>
      <c r="B133" s="317"/>
      <c r="C133" s="317"/>
      <c r="D133" s="317"/>
      <c r="E133" s="317"/>
      <c r="F133" s="319"/>
      <c r="G133" s="317"/>
      <c r="H133" s="317"/>
      <c r="I133" s="259"/>
    </row>
    <row r="250" spans="1:1" x14ac:dyDescent="0.25">
      <c r="A250" s="25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 </vt:lpstr>
      <vt:lpstr>Uniformity</vt:lpstr>
      <vt:lpstr>Sulfamethoxazole </vt:lpstr>
      <vt:lpstr>Trimethoprim </vt:lpstr>
      <vt:lpstr>'Trimethoprim 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2016-07-20T07:55:01Z</cp:lastPrinted>
  <dcterms:created xsi:type="dcterms:W3CDTF">2005-07-05T10:19:27Z</dcterms:created>
  <dcterms:modified xsi:type="dcterms:W3CDTF">2016-07-20T08:06:01Z</dcterms:modified>
</cp:coreProperties>
</file>