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September 2016\"/>
    </mc:Choice>
  </mc:AlternateContent>
  <bookViews>
    <workbookView xWindow="510" yWindow="525" windowWidth="15015" windowHeight="7620" firstSheet="1" activeTab="2"/>
  </bookViews>
  <sheets>
    <sheet name="SST lam" sheetId="13" r:id="rId1"/>
    <sheet name="SST TDF" sheetId="14" r:id="rId2"/>
    <sheet name="SST Efav" sheetId="15" r:id="rId3"/>
    <sheet name="Lamivudine (2)" sheetId="12" r:id="rId4"/>
    <sheet name="EFFAVIRENZ" sheetId="9" r:id="rId5"/>
    <sheet name="Tenofovir Disoproxil Fumara (2" sheetId="7" r:id="rId6"/>
    <sheet name="Uniformity" sheetId="2" r:id="rId7"/>
  </sheets>
  <definedNames>
    <definedName name="_xlnm.Print_Area" localSheetId="6">Uniformity!$A$1:$F$54</definedName>
  </definedNames>
  <calcPr calcId="152511"/>
</workbook>
</file>

<file path=xl/calcChain.xml><?xml version="1.0" encoding="utf-8"?>
<calcChain xmlns="http://schemas.openxmlformats.org/spreadsheetml/2006/main">
  <c r="B53" i="15" l="1"/>
  <c r="E51" i="15"/>
  <c r="D51" i="15"/>
  <c r="C51" i="15"/>
  <c r="B51" i="15"/>
  <c r="B52" i="15" s="1"/>
  <c r="B32" i="15"/>
  <c r="E30" i="15"/>
  <c r="D30" i="15"/>
  <c r="C30" i="15"/>
  <c r="B30" i="15"/>
  <c r="B31" i="15" s="1"/>
  <c r="B21" i="15"/>
  <c r="B53" i="14"/>
  <c r="E51" i="14"/>
  <c r="D51" i="14"/>
  <c r="C51" i="14"/>
  <c r="B51" i="14"/>
  <c r="B52" i="14" s="1"/>
  <c r="B32" i="14"/>
  <c r="E30" i="14"/>
  <c r="D30" i="14"/>
  <c r="C30" i="14"/>
  <c r="B30" i="14"/>
  <c r="B31" i="14" s="1"/>
  <c r="B21" i="14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21" i="13"/>
  <c r="C120" i="12" l="1"/>
  <c r="B116" i="12"/>
  <c r="D100" i="12" s="1"/>
  <c r="B98" i="12"/>
  <c r="F95" i="12"/>
  <c r="D95" i="12"/>
  <c r="B87" i="12"/>
  <c r="F97" i="12" s="1"/>
  <c r="B81" i="12"/>
  <c r="B83" i="12" s="1"/>
  <c r="B80" i="12"/>
  <c r="B79" i="12"/>
  <c r="C76" i="12"/>
  <c r="H71" i="12"/>
  <c r="G71" i="12"/>
  <c r="B68" i="12"/>
  <c r="H67" i="12"/>
  <c r="G67" i="12"/>
  <c r="H63" i="12"/>
  <c r="G63" i="12"/>
  <c r="C56" i="12"/>
  <c r="B55" i="12"/>
  <c r="B45" i="12"/>
  <c r="D48" i="12" s="1"/>
  <c r="F42" i="12"/>
  <c r="D42" i="12"/>
  <c r="G41" i="12"/>
  <c r="E41" i="12"/>
  <c r="B34" i="12"/>
  <c r="D44" i="12" s="1"/>
  <c r="B30" i="12"/>
  <c r="C120" i="9"/>
  <c r="B116" i="9"/>
  <c r="D100" i="9" s="1"/>
  <c r="B98" i="9"/>
  <c r="F95" i="9"/>
  <c r="D95" i="9"/>
  <c r="B87" i="9"/>
  <c r="F97" i="9" s="1"/>
  <c r="B81" i="9"/>
  <c r="B83" i="9" s="1"/>
  <c r="B80" i="9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D49" i="9" s="1"/>
  <c r="F42" i="9"/>
  <c r="D42" i="9"/>
  <c r="G41" i="9"/>
  <c r="E41" i="9"/>
  <c r="B34" i="9"/>
  <c r="D44" i="9" s="1"/>
  <c r="B30" i="9"/>
  <c r="C120" i="7"/>
  <c r="B116" i="7"/>
  <c r="D100" i="7" s="1"/>
  <c r="B98" i="7"/>
  <c r="D97" i="7"/>
  <c r="F95" i="7"/>
  <c r="D95" i="7"/>
  <c r="B87" i="7"/>
  <c r="F97" i="7" s="1"/>
  <c r="B81" i="7"/>
  <c r="B83" i="7" s="1"/>
  <c r="B80" i="7"/>
  <c r="B79" i="7"/>
  <c r="C76" i="7"/>
  <c r="H71" i="7"/>
  <c r="G71" i="7"/>
  <c r="B68" i="7"/>
  <c r="H67" i="7"/>
  <c r="G67" i="7"/>
  <c r="H66" i="7"/>
  <c r="G66" i="7"/>
  <c r="G65" i="7"/>
  <c r="H65" i="7" s="1"/>
  <c r="G64" i="7"/>
  <c r="H64" i="7" s="1"/>
  <c r="H63" i="7"/>
  <c r="G63" i="7"/>
  <c r="C56" i="7"/>
  <c r="B55" i="7"/>
  <c r="D48" i="7"/>
  <c r="B45" i="7"/>
  <c r="F42" i="7"/>
  <c r="D42" i="7"/>
  <c r="G41" i="7"/>
  <c r="E41" i="7"/>
  <c r="B34" i="7"/>
  <c r="F44" i="7" s="1"/>
  <c r="B30" i="7"/>
  <c r="C50" i="2"/>
  <c r="C46" i="2"/>
  <c r="C45" i="2"/>
  <c r="D43" i="2"/>
  <c r="D37" i="2"/>
  <c r="D33" i="2"/>
  <c r="D31" i="2"/>
  <c r="D29" i="2"/>
  <c r="D27" i="2"/>
  <c r="D25" i="2"/>
  <c r="C19" i="2"/>
  <c r="F98" i="7" l="1"/>
  <c r="D45" i="12"/>
  <c r="D46" i="12" s="1"/>
  <c r="D40" i="2"/>
  <c r="B57" i="9"/>
  <c r="B57" i="12"/>
  <c r="B69" i="12" s="1"/>
  <c r="B57" i="7"/>
  <c r="B69" i="7" s="1"/>
  <c r="F45" i="7"/>
  <c r="F46" i="7" s="1"/>
  <c r="D97" i="9"/>
  <c r="D98" i="9" s="1"/>
  <c r="E94" i="9" s="1"/>
  <c r="D45" i="9"/>
  <c r="D101" i="9"/>
  <c r="D102" i="9" s="1"/>
  <c r="I92" i="9"/>
  <c r="D101" i="7"/>
  <c r="D102" i="7" s="1"/>
  <c r="I92" i="7"/>
  <c r="I92" i="12"/>
  <c r="D101" i="12"/>
  <c r="D102" i="12" s="1"/>
  <c r="D97" i="12"/>
  <c r="D98" i="12" s="1"/>
  <c r="D99" i="12" s="1"/>
  <c r="I39" i="7"/>
  <c r="I39" i="9"/>
  <c r="I39" i="12"/>
  <c r="B69" i="9"/>
  <c r="F98" i="12"/>
  <c r="F99" i="12" s="1"/>
  <c r="D49" i="12"/>
  <c r="E39" i="12"/>
  <c r="F44" i="12"/>
  <c r="F45" i="12" s="1"/>
  <c r="F46" i="12" s="1"/>
  <c r="F98" i="9"/>
  <c r="E38" i="9"/>
  <c r="D46" i="9"/>
  <c r="E39" i="9"/>
  <c r="F44" i="9"/>
  <c r="F45" i="9" s="1"/>
  <c r="F46" i="9" s="1"/>
  <c r="E40" i="9"/>
  <c r="F99" i="7"/>
  <c r="D98" i="7"/>
  <c r="D44" i="7"/>
  <c r="D45" i="7" s="1"/>
  <c r="D49" i="7"/>
  <c r="G40" i="7"/>
  <c r="E94" i="7"/>
  <c r="G94" i="7"/>
  <c r="D26" i="2"/>
  <c r="D30" i="2"/>
  <c r="D34" i="2"/>
  <c r="D39" i="2"/>
  <c r="D35" i="2"/>
  <c r="D50" i="2"/>
  <c r="B49" i="2"/>
  <c r="D42" i="2"/>
  <c r="D38" i="2"/>
  <c r="D49" i="2"/>
  <c r="D24" i="2"/>
  <c r="D28" i="2"/>
  <c r="D32" i="2"/>
  <c r="D36" i="2"/>
  <c r="D41" i="2"/>
  <c r="C49" i="2"/>
  <c r="E40" i="12" l="1"/>
  <c r="G39" i="7"/>
  <c r="G42" i="7" s="1"/>
  <c r="G38" i="9"/>
  <c r="G42" i="9" s="1"/>
  <c r="G38" i="7"/>
  <c r="G39" i="9"/>
  <c r="E38" i="12"/>
  <c r="G40" i="9"/>
  <c r="E92" i="7"/>
  <c r="G93" i="7"/>
  <c r="G91" i="7"/>
  <c r="G92" i="7"/>
  <c r="E91" i="7"/>
  <c r="E94" i="12"/>
  <c r="G91" i="12"/>
  <c r="E93" i="12"/>
  <c r="G92" i="12"/>
  <c r="G40" i="12"/>
  <c r="E42" i="12"/>
  <c r="G39" i="12"/>
  <c r="G38" i="12"/>
  <c r="E91" i="12"/>
  <c r="E92" i="12"/>
  <c r="G94" i="12"/>
  <c r="G93" i="12"/>
  <c r="G91" i="9"/>
  <c r="F99" i="9"/>
  <c r="D99" i="9"/>
  <c r="E93" i="9"/>
  <c r="G93" i="9"/>
  <c r="G94" i="9"/>
  <c r="G92" i="9"/>
  <c r="E92" i="9"/>
  <c r="E91" i="9"/>
  <c r="E42" i="9"/>
  <c r="D46" i="7"/>
  <c r="E38" i="7"/>
  <c r="E39" i="7"/>
  <c r="E40" i="7"/>
  <c r="D99" i="7"/>
  <c r="E93" i="7"/>
  <c r="D50" i="9" l="1"/>
  <c r="D51" i="9" s="1"/>
  <c r="D52" i="9"/>
  <c r="D103" i="7"/>
  <c r="E113" i="7" s="1"/>
  <c r="F113" i="7" s="1"/>
  <c r="G95" i="7"/>
  <c r="E95" i="7"/>
  <c r="G95" i="12"/>
  <c r="G42" i="12"/>
  <c r="D50" i="12"/>
  <c r="D52" i="12"/>
  <c r="D105" i="12"/>
  <c r="D103" i="12"/>
  <c r="E95" i="12"/>
  <c r="E95" i="9"/>
  <c r="D105" i="9"/>
  <c r="D103" i="9"/>
  <c r="G95" i="9"/>
  <c r="G68" i="9"/>
  <c r="H68" i="9" s="1"/>
  <c r="G64" i="9"/>
  <c r="H64" i="9" s="1"/>
  <c r="G60" i="9"/>
  <c r="G70" i="9"/>
  <c r="H70" i="9" s="1"/>
  <c r="G65" i="9"/>
  <c r="H65" i="9" s="1"/>
  <c r="G61" i="9"/>
  <c r="H61" i="9" s="1"/>
  <c r="G66" i="9"/>
  <c r="H66" i="9" s="1"/>
  <c r="G62" i="9"/>
  <c r="H62" i="9" s="1"/>
  <c r="E112" i="7"/>
  <c r="F112" i="7" s="1"/>
  <c r="E109" i="7"/>
  <c r="F109" i="7" s="1"/>
  <c r="D105" i="7"/>
  <c r="D50" i="7"/>
  <c r="E42" i="7"/>
  <c r="D52" i="7"/>
  <c r="E111" i="7" l="1"/>
  <c r="F111" i="7" s="1"/>
  <c r="E108" i="7"/>
  <c r="D104" i="7"/>
  <c r="E110" i="7"/>
  <c r="F110" i="7" s="1"/>
  <c r="G69" i="9"/>
  <c r="H69" i="9" s="1"/>
  <c r="G68" i="12"/>
  <c r="H68" i="12" s="1"/>
  <c r="G64" i="12"/>
  <c r="H64" i="12" s="1"/>
  <c r="G62" i="12"/>
  <c r="H62" i="12" s="1"/>
  <c r="D51" i="12"/>
  <c r="G70" i="12"/>
  <c r="H70" i="12" s="1"/>
  <c r="G65" i="12"/>
  <c r="H65" i="12" s="1"/>
  <c r="G61" i="12"/>
  <c r="H61" i="12" s="1"/>
  <c r="G69" i="12"/>
  <c r="H69" i="12" s="1"/>
  <c r="G66" i="12"/>
  <c r="H66" i="12" s="1"/>
  <c r="G60" i="12"/>
  <c r="E112" i="12"/>
  <c r="F112" i="12" s="1"/>
  <c r="E110" i="12"/>
  <c r="F110" i="12" s="1"/>
  <c r="E108" i="12"/>
  <c r="E113" i="12"/>
  <c r="F113" i="12" s="1"/>
  <c r="E111" i="12"/>
  <c r="F111" i="12" s="1"/>
  <c r="E109" i="12"/>
  <c r="F109" i="12" s="1"/>
  <c r="D104" i="12"/>
  <c r="H60" i="9"/>
  <c r="G74" i="9"/>
  <c r="G72" i="9"/>
  <c r="G73" i="9" s="1"/>
  <c r="E112" i="9"/>
  <c r="F112" i="9" s="1"/>
  <c r="E110" i="9"/>
  <c r="F110" i="9" s="1"/>
  <c r="E108" i="9"/>
  <c r="E113" i="9"/>
  <c r="F113" i="9" s="1"/>
  <c r="E111" i="9"/>
  <c r="F111" i="9" s="1"/>
  <c r="E109" i="9"/>
  <c r="F109" i="9" s="1"/>
  <c r="D104" i="9"/>
  <c r="E115" i="7"/>
  <c r="E116" i="7" s="1"/>
  <c r="F108" i="7"/>
  <c r="G68" i="7"/>
  <c r="H68" i="7" s="1"/>
  <c r="G60" i="7"/>
  <c r="D51" i="7"/>
  <c r="G70" i="7"/>
  <c r="H70" i="7" s="1"/>
  <c r="G61" i="7"/>
  <c r="H61" i="7" s="1"/>
  <c r="G69" i="7"/>
  <c r="H69" i="7" s="1"/>
  <c r="G62" i="7"/>
  <c r="H62" i="7" s="1"/>
  <c r="E117" i="7" l="1"/>
  <c r="H60" i="12"/>
  <c r="G74" i="12"/>
  <c r="G72" i="12"/>
  <c r="G73" i="12" s="1"/>
  <c r="E115" i="12"/>
  <c r="E116" i="12" s="1"/>
  <c r="E117" i="12"/>
  <c r="F108" i="12"/>
  <c r="E115" i="9"/>
  <c r="E116" i="9" s="1"/>
  <c r="E117" i="9"/>
  <c r="F108" i="9"/>
  <c r="H74" i="9"/>
  <c r="H72" i="9"/>
  <c r="F117" i="7"/>
  <c r="F115" i="7"/>
  <c r="G74" i="7"/>
  <c r="G72" i="7"/>
  <c r="G73" i="7" s="1"/>
  <c r="H60" i="7"/>
  <c r="F117" i="12" l="1"/>
  <c r="F115" i="12"/>
  <c r="H72" i="12"/>
  <c r="H74" i="12"/>
  <c r="F117" i="9"/>
  <c r="F115" i="9"/>
  <c r="G76" i="9"/>
  <c r="H73" i="9"/>
  <c r="G120" i="7"/>
  <c r="F116" i="7"/>
  <c r="H74" i="7"/>
  <c r="H72" i="7"/>
  <c r="G76" i="12" l="1"/>
  <c r="H73" i="12"/>
  <c r="G120" i="12"/>
  <c r="F116" i="12"/>
  <c r="G120" i="9"/>
  <c r="F116" i="9"/>
  <c r="G76" i="7"/>
  <c r="H73" i="7"/>
</calcChain>
</file>

<file path=xl/sharedStrings.xml><?xml version="1.0" encoding="utf-8"?>
<sst xmlns="http://schemas.openxmlformats.org/spreadsheetml/2006/main" count="647" uniqueCount="135">
  <si>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</si>
  <si>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</si>
  <si>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</si>
  <si>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</si>
  <si>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</si>
  <si>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</si>
  <si>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</si>
  <si>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NDQB201607022</t>
  </si>
  <si>
    <t>Weight (mg):</t>
  </si>
  <si>
    <t>Tenofovir Disoproxil Fumarate 300mg, Lamivudine 300mg &amp; Efavirenz 600mg tablets</t>
  </si>
  <si>
    <t>Standard Conc (mg/mL):</t>
  </si>
  <si>
    <t>Tenofovir Disoproxil Fumarate 300mg, Lamivudine 300mg, Efavirenz 600mg</t>
  </si>
  <si>
    <t>2016-07-14 15:14:33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</si>
  <si>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</si>
  <si>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</si>
  <si>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</si>
  <si>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</si>
  <si>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</si>
  <si>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</si>
  <si>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</si>
  <si>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</si>
  <si>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</si>
  <si>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</si>
  <si>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</si>
  <si>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</si>
  <si>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</si>
  <si>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</si>
  <si>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</si>
  <si>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</si>
  <si>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</si>
  <si>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</si>
  <si>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</si>
  <si>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</si>
  <si>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</si>
  <si>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</si>
  <si>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</si>
  <si>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</si>
  <si>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</si>
  <si>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</si>
  <si>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</si>
  <si>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</si>
  <si>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</si>
  <si>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</si>
  <si>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</si>
  <si>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</si>
  <si>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</si>
  <si>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</si>
  <si>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</si>
  <si>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</si>
  <si>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</si>
  <si>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</si>
  <si>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</si>
  <si>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</si>
  <si>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</si>
  <si>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</si>
  <si>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</si>
  <si>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</si>
  <si>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</si>
  <si>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</si>
  <si>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</si>
  <si>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</si>
  <si>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</si>
  <si>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</si>
  <si>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</si>
  <si>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</si>
  <si>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</si>
  <si>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</si>
  <si>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</si>
  <si>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</si>
  <si>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</si>
  <si>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</si>
  <si>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</si>
  <si>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</si>
  <si>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</si>
  <si>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</si>
  <si>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</si>
  <si>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</si>
  <si>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</si>
  <si>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</si>
  <si>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</si>
  <si>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</si>
  <si>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</si>
  <si>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</si>
  <si>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</si>
  <si>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</si>
  <si>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</si>
  <si>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</si>
  <si>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</si>
  <si>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</si>
  <si>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</si>
  <si>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</si>
  <si>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</si>
  <si>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</si>
  <si>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</si>
  <si>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</si>
  <si>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</si>
  <si>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</si>
  <si>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</si>
  <si>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</si>
  <si>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</si>
  <si>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</si>
  <si>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</si>
  <si>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</si>
  <si>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</si>
  <si>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</si>
  <si>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</si>
  <si>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</si>
  <si>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</si>
  <si>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</si>
  <si>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</si>
  <si>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</si>
  <si>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</si>
  <si>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</si>
  <si>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</si>
  <si>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</si>
  <si>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</si>
  <si>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</si>
  <si>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</si>
  <si>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</si>
  <si>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</si>
  <si>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</si>
  <si>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</si>
  <si>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</si>
  <si>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</si>
  <si>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</si>
  <si>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</si>
  <si>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</si>
  <si>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2016-07-14 15:11:17</t>
  </si>
  <si>
    <t>Tenofovir Disoproxil Fumurate</t>
  </si>
  <si>
    <t>T11-8</t>
  </si>
  <si>
    <t>Lamivudine</t>
  </si>
  <si>
    <t>L3-7</t>
  </si>
  <si>
    <t>Effavirenz</t>
  </si>
  <si>
    <t>E15-8</t>
  </si>
  <si>
    <t>Efavirenz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</si>
</sst>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5" fillId="2" borderId="0"/>
  </cellStyleXfs>
  <cellXfs count="30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5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4" fillId="2" borderId="0" xfId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22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29" sqref="E29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252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259" t="s">
        <v>0</v>
      </c>
      <c r="B15" s="259"/>
      <c r="C15" s="259"/>
      <c r="D15" s="259"/>
      <c r="E15" s="259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125</v>
      </c>
      <c r="D17" s="220"/>
      <c r="E17" s="221"/>
    </row>
    <row r="18" spans="1:5" ht="16.5" customHeight="1" x14ac:dyDescent="0.3">
      <c r="A18" s="222" t="s">
        <v>4</v>
      </c>
      <c r="B18" s="223" t="s">
        <v>130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84.06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16.670000000000002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6.6680000000000017E-2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20420692</v>
      </c>
      <c r="C24" s="229">
        <v>70094.2</v>
      </c>
      <c r="D24" s="230">
        <v>1.2</v>
      </c>
      <c r="E24" s="231">
        <v>8.6</v>
      </c>
    </row>
    <row r="25" spans="1:5" ht="16.5" customHeight="1" x14ac:dyDescent="0.3">
      <c r="A25" s="228">
        <v>2</v>
      </c>
      <c r="B25" s="229">
        <v>20344360</v>
      </c>
      <c r="C25" s="229">
        <v>69785.600000000006</v>
      </c>
      <c r="D25" s="230">
        <v>1.2</v>
      </c>
      <c r="E25" s="230">
        <v>8.6</v>
      </c>
    </row>
    <row r="26" spans="1:5" ht="16.5" customHeight="1" x14ac:dyDescent="0.3">
      <c r="A26" s="228">
        <v>3</v>
      </c>
      <c r="B26" s="229">
        <v>20408505</v>
      </c>
      <c r="C26" s="229">
        <v>69688.899999999994</v>
      </c>
      <c r="D26" s="230">
        <v>1.2</v>
      </c>
      <c r="E26" s="230">
        <v>8.6</v>
      </c>
    </row>
    <row r="27" spans="1:5" ht="16.5" customHeight="1" x14ac:dyDescent="0.3">
      <c r="A27" s="228">
        <v>4</v>
      </c>
      <c r="B27" s="229">
        <v>20326724</v>
      </c>
      <c r="C27" s="229">
        <v>69602.3</v>
      </c>
      <c r="D27" s="230">
        <v>1.2</v>
      </c>
      <c r="E27" s="230">
        <v>8.6</v>
      </c>
    </row>
    <row r="28" spans="1:5" ht="16.5" customHeight="1" x14ac:dyDescent="0.3">
      <c r="A28" s="228">
        <v>5</v>
      </c>
      <c r="B28" s="229">
        <v>20394290</v>
      </c>
      <c r="C28" s="229">
        <v>69916.3</v>
      </c>
      <c r="D28" s="230">
        <v>1.2</v>
      </c>
      <c r="E28" s="230">
        <v>8.6</v>
      </c>
    </row>
    <row r="29" spans="1:5" ht="16.5" customHeight="1" x14ac:dyDescent="0.3">
      <c r="A29" s="228">
        <v>6</v>
      </c>
      <c r="B29" s="232">
        <v>20416552</v>
      </c>
      <c r="C29" s="232">
        <v>69734.2</v>
      </c>
      <c r="D29" s="233">
        <v>1.2</v>
      </c>
      <c r="E29" s="233">
        <v>8.6</v>
      </c>
    </row>
    <row r="30" spans="1:5" ht="16.5" customHeight="1" x14ac:dyDescent="0.3">
      <c r="A30" s="234" t="s">
        <v>18</v>
      </c>
      <c r="B30" s="235">
        <f>AVERAGE(B24:B29)</f>
        <v>20385187.166666668</v>
      </c>
      <c r="C30" s="236">
        <f>AVERAGE(C24:C29)</f>
        <v>69803.583333333328</v>
      </c>
      <c r="D30" s="237">
        <f>AVERAGE(D24:D29)</f>
        <v>1.2</v>
      </c>
      <c r="E30" s="237">
        <f>AVERAGE(E24:E29)</f>
        <v>8.6</v>
      </c>
    </row>
    <row r="31" spans="1:5" ht="16.5" customHeight="1" x14ac:dyDescent="0.3">
      <c r="A31" s="238" t="s">
        <v>19</v>
      </c>
      <c r="B31" s="239">
        <f>(STDEV(B24:B29)/B30)</f>
        <v>1.956772181042793E-3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22</v>
      </c>
      <c r="C34" s="248"/>
      <c r="D34" s="248"/>
      <c r="E34" s="248"/>
    </row>
    <row r="35" spans="1:5" ht="16.5" customHeight="1" x14ac:dyDescent="0.3">
      <c r="A35" s="222"/>
      <c r="B35" s="247" t="s">
        <v>23</v>
      </c>
      <c r="C35" s="248"/>
      <c r="D35" s="248"/>
      <c r="E35" s="248"/>
    </row>
    <row r="36" spans="1:5" ht="16.5" customHeight="1" x14ac:dyDescent="0.3">
      <c r="A36" s="222"/>
      <c r="B36" s="247" t="s">
        <v>24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25</v>
      </c>
    </row>
    <row r="39" spans="1:5" ht="16.5" customHeight="1" x14ac:dyDescent="0.3">
      <c r="A39" s="222" t="s">
        <v>4</v>
      </c>
      <c r="B39" s="219" t="s">
        <v>130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84.06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16.670000000000002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6.6680000000000017E-2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20420692</v>
      </c>
      <c r="C45" s="229">
        <v>70094.2</v>
      </c>
      <c r="D45" s="230">
        <v>1.2</v>
      </c>
      <c r="E45" s="231">
        <v>8.6</v>
      </c>
    </row>
    <row r="46" spans="1:5" ht="16.5" customHeight="1" x14ac:dyDescent="0.3">
      <c r="A46" s="228">
        <v>2</v>
      </c>
      <c r="B46" s="229">
        <v>20344360</v>
      </c>
      <c r="C46" s="229">
        <v>69785.600000000006</v>
      </c>
      <c r="D46" s="230">
        <v>1.2</v>
      </c>
      <c r="E46" s="230">
        <v>8.6</v>
      </c>
    </row>
    <row r="47" spans="1:5" ht="16.5" customHeight="1" x14ac:dyDescent="0.3">
      <c r="A47" s="228">
        <v>3</v>
      </c>
      <c r="B47" s="229">
        <v>20408505</v>
      </c>
      <c r="C47" s="229">
        <v>69688.899999999994</v>
      </c>
      <c r="D47" s="230">
        <v>1.2</v>
      </c>
      <c r="E47" s="230">
        <v>8.6</v>
      </c>
    </row>
    <row r="48" spans="1:5" ht="16.5" customHeight="1" x14ac:dyDescent="0.3">
      <c r="A48" s="228">
        <v>4</v>
      </c>
      <c r="B48" s="229">
        <v>20326724</v>
      </c>
      <c r="C48" s="229">
        <v>69602.3</v>
      </c>
      <c r="D48" s="230">
        <v>1.2</v>
      </c>
      <c r="E48" s="230">
        <v>8.6</v>
      </c>
    </row>
    <row r="49" spans="1:7" ht="16.5" customHeight="1" x14ac:dyDescent="0.3">
      <c r="A49" s="228">
        <v>5</v>
      </c>
      <c r="B49" s="229">
        <v>20394290</v>
      </c>
      <c r="C49" s="229">
        <v>69916.3</v>
      </c>
      <c r="D49" s="230">
        <v>1.2</v>
      </c>
      <c r="E49" s="230">
        <v>8.6</v>
      </c>
    </row>
    <row r="50" spans="1:7" ht="16.5" customHeight="1" x14ac:dyDescent="0.3">
      <c r="A50" s="228">
        <v>6</v>
      </c>
      <c r="B50" s="232">
        <v>20416552</v>
      </c>
      <c r="C50" s="232">
        <v>69734.2</v>
      </c>
      <c r="D50" s="233">
        <v>1.2</v>
      </c>
      <c r="E50" s="233">
        <v>8.6</v>
      </c>
    </row>
    <row r="51" spans="1:7" ht="16.5" customHeight="1" x14ac:dyDescent="0.3">
      <c r="A51" s="234" t="s">
        <v>18</v>
      </c>
      <c r="B51" s="235">
        <f>AVERAGE(B45:B50)</f>
        <v>20385187.166666668</v>
      </c>
      <c r="C51" s="236">
        <f>AVERAGE(C45:C50)</f>
        <v>69803.583333333328</v>
      </c>
      <c r="D51" s="237">
        <f>AVERAGE(D45:D50)</f>
        <v>1.2</v>
      </c>
      <c r="E51" s="237">
        <f>AVERAGE(E45:E50)</f>
        <v>8.6</v>
      </c>
    </row>
    <row r="52" spans="1:7" ht="16.5" customHeight="1" x14ac:dyDescent="0.3">
      <c r="A52" s="238" t="s">
        <v>19</v>
      </c>
      <c r="B52" s="239">
        <f>(STDEV(B45:B50)/B51)</f>
        <v>1.956772181042793E-3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22</v>
      </c>
      <c r="C55" s="248"/>
      <c r="D55" s="248"/>
      <c r="E55" s="248"/>
    </row>
    <row r="56" spans="1:7" ht="16.5" customHeight="1" x14ac:dyDescent="0.3">
      <c r="A56" s="222"/>
      <c r="B56" s="247" t="s">
        <v>23</v>
      </c>
      <c r="C56" s="248"/>
      <c r="D56" s="248"/>
      <c r="E56" s="248"/>
    </row>
    <row r="57" spans="1:7" ht="16.5" customHeight="1" x14ac:dyDescent="0.3">
      <c r="A57" s="222"/>
      <c r="B57" s="247" t="s">
        <v>24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252"/>
      <c r="G58" s="252"/>
    </row>
    <row r="59" spans="1:7" ht="15" customHeight="1" x14ac:dyDescent="0.3">
      <c r="B59" s="260" t="s">
        <v>26</v>
      </c>
      <c r="C59" s="260"/>
      <c r="E59" s="253" t="s">
        <v>27</v>
      </c>
      <c r="F59" s="254"/>
      <c r="G59" s="253" t="s">
        <v>28</v>
      </c>
    </row>
    <row r="60" spans="1:7" ht="15" customHeight="1" x14ac:dyDescent="0.3">
      <c r="A60" s="255" t="s">
        <v>29</v>
      </c>
      <c r="B60" s="256"/>
      <c r="C60" s="256"/>
      <c r="E60" s="256"/>
      <c r="G60" s="256"/>
    </row>
    <row r="61" spans="1:7" ht="15" customHeight="1" x14ac:dyDescent="0.3">
      <c r="A61" s="255" t="s">
        <v>30</v>
      </c>
      <c r="B61" s="257"/>
      <c r="C61" s="257"/>
      <c r="E61" s="257"/>
      <c r="G61" s="2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E29" sqref="E29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252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259" t="s">
        <v>0</v>
      </c>
      <c r="B15" s="259"/>
      <c r="C15" s="259"/>
      <c r="D15" s="259"/>
      <c r="E15" s="259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125</v>
      </c>
      <c r="D17" s="220"/>
      <c r="E17" s="221"/>
    </row>
    <row r="18" spans="1:5" ht="16.5" customHeight="1" x14ac:dyDescent="0.3">
      <c r="A18" s="222" t="s">
        <v>4</v>
      </c>
      <c r="B18" s="223" t="s">
        <v>128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98.8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14.9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5.96E-2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6215959</v>
      </c>
      <c r="C24" s="229">
        <v>212865.5</v>
      </c>
      <c r="D24" s="230">
        <v>1.2</v>
      </c>
      <c r="E24" s="231">
        <v>17</v>
      </c>
    </row>
    <row r="25" spans="1:5" ht="16.5" customHeight="1" x14ac:dyDescent="0.3">
      <c r="A25" s="228">
        <v>2</v>
      </c>
      <c r="B25" s="229">
        <v>6146291</v>
      </c>
      <c r="C25" s="229">
        <v>213632.3</v>
      </c>
      <c r="D25" s="230">
        <v>1.2</v>
      </c>
      <c r="E25" s="230">
        <v>17</v>
      </c>
    </row>
    <row r="26" spans="1:5" ht="16.5" customHeight="1" x14ac:dyDescent="0.3">
      <c r="A26" s="228">
        <v>3</v>
      </c>
      <c r="B26" s="229">
        <v>6117690</v>
      </c>
      <c r="C26" s="229">
        <v>211832.5</v>
      </c>
      <c r="D26" s="230">
        <v>1.2</v>
      </c>
      <c r="E26" s="230">
        <v>17</v>
      </c>
    </row>
    <row r="27" spans="1:5" ht="16.5" customHeight="1" x14ac:dyDescent="0.3">
      <c r="A27" s="228">
        <v>4</v>
      </c>
      <c r="B27" s="229">
        <v>6046996</v>
      </c>
      <c r="C27" s="229">
        <v>211255.5</v>
      </c>
      <c r="D27" s="230">
        <v>1.2</v>
      </c>
      <c r="E27" s="230">
        <v>17</v>
      </c>
    </row>
    <row r="28" spans="1:5" ht="16.5" customHeight="1" x14ac:dyDescent="0.3">
      <c r="A28" s="228">
        <v>5</v>
      </c>
      <c r="B28" s="229">
        <v>6022405</v>
      </c>
      <c r="C28" s="229">
        <v>212011.9</v>
      </c>
      <c r="D28" s="230">
        <v>1.2</v>
      </c>
      <c r="E28" s="230">
        <v>17</v>
      </c>
    </row>
    <row r="29" spans="1:5" ht="16.5" customHeight="1" x14ac:dyDescent="0.3">
      <c r="A29" s="228">
        <v>6</v>
      </c>
      <c r="B29" s="232">
        <v>5987820</v>
      </c>
      <c r="C29" s="232">
        <v>211627.3</v>
      </c>
      <c r="D29" s="233">
        <v>1.2</v>
      </c>
      <c r="E29" s="233">
        <v>17.02</v>
      </c>
    </row>
    <row r="30" spans="1:5" ht="16.5" customHeight="1" x14ac:dyDescent="0.3">
      <c r="A30" s="234" t="s">
        <v>18</v>
      </c>
      <c r="B30" s="235">
        <f>AVERAGE(B24:B29)</f>
        <v>6089526.833333333</v>
      </c>
      <c r="C30" s="236">
        <f>AVERAGE(C24:C29)</f>
        <v>212204.16666666666</v>
      </c>
      <c r="D30" s="237">
        <f>AVERAGE(D24:D29)</f>
        <v>1.2</v>
      </c>
      <c r="E30" s="237">
        <f>AVERAGE(E24:E29)</f>
        <v>17.003333333333334</v>
      </c>
    </row>
    <row r="31" spans="1:5" ht="16.5" customHeight="1" x14ac:dyDescent="0.3">
      <c r="A31" s="238" t="s">
        <v>19</v>
      </c>
      <c r="B31" s="239">
        <f>(STDEV(B24:B29)/B30)</f>
        <v>1.4061164205120444E-2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22</v>
      </c>
      <c r="C34" s="248"/>
      <c r="D34" s="248"/>
      <c r="E34" s="248"/>
    </row>
    <row r="35" spans="1:5" ht="16.5" customHeight="1" x14ac:dyDescent="0.3">
      <c r="A35" s="222"/>
      <c r="B35" s="247" t="s">
        <v>23</v>
      </c>
      <c r="C35" s="248"/>
      <c r="D35" s="248"/>
      <c r="E35" s="248"/>
    </row>
    <row r="36" spans="1:5" ht="16.5" customHeight="1" x14ac:dyDescent="0.3">
      <c r="A36" s="222"/>
      <c r="B36" s="247" t="s">
        <v>24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25</v>
      </c>
    </row>
    <row r="39" spans="1:5" ht="16.5" customHeight="1" x14ac:dyDescent="0.3">
      <c r="A39" s="222" t="s">
        <v>4</v>
      </c>
      <c r="B39" s="219" t="s">
        <v>128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98.8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14.9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5.96E-2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6215959</v>
      </c>
      <c r="C45" s="229">
        <v>212865.5</v>
      </c>
      <c r="D45" s="230">
        <v>1.2</v>
      </c>
      <c r="E45" s="231">
        <v>17</v>
      </c>
    </row>
    <row r="46" spans="1:5" ht="16.5" customHeight="1" x14ac:dyDescent="0.3">
      <c r="A46" s="228">
        <v>2</v>
      </c>
      <c r="B46" s="229">
        <v>6146291</v>
      </c>
      <c r="C46" s="229">
        <v>213632.3</v>
      </c>
      <c r="D46" s="230">
        <v>1.2</v>
      </c>
      <c r="E46" s="230">
        <v>17</v>
      </c>
    </row>
    <row r="47" spans="1:5" ht="16.5" customHeight="1" x14ac:dyDescent="0.3">
      <c r="A47" s="228">
        <v>3</v>
      </c>
      <c r="B47" s="229">
        <v>6117690</v>
      </c>
      <c r="C47" s="229">
        <v>211832.5</v>
      </c>
      <c r="D47" s="230">
        <v>1.2</v>
      </c>
      <c r="E47" s="230">
        <v>17</v>
      </c>
    </row>
    <row r="48" spans="1:5" ht="16.5" customHeight="1" x14ac:dyDescent="0.3">
      <c r="A48" s="228">
        <v>4</v>
      </c>
      <c r="B48" s="229">
        <v>6046996</v>
      </c>
      <c r="C48" s="229">
        <v>211255.5</v>
      </c>
      <c r="D48" s="230">
        <v>1.2</v>
      </c>
      <c r="E48" s="230">
        <v>17</v>
      </c>
    </row>
    <row r="49" spans="1:7" ht="16.5" customHeight="1" x14ac:dyDescent="0.3">
      <c r="A49" s="228">
        <v>5</v>
      </c>
      <c r="B49" s="229">
        <v>6022405</v>
      </c>
      <c r="C49" s="229">
        <v>212011.9</v>
      </c>
      <c r="D49" s="230">
        <v>1.2</v>
      </c>
      <c r="E49" s="230">
        <v>17</v>
      </c>
    </row>
    <row r="50" spans="1:7" ht="16.5" customHeight="1" x14ac:dyDescent="0.3">
      <c r="A50" s="228">
        <v>6</v>
      </c>
      <c r="B50" s="232">
        <v>5987820</v>
      </c>
      <c r="C50" s="232">
        <v>211627.3</v>
      </c>
      <c r="D50" s="233">
        <v>1.2</v>
      </c>
      <c r="E50" s="233">
        <v>17.02</v>
      </c>
    </row>
    <row r="51" spans="1:7" ht="16.5" customHeight="1" x14ac:dyDescent="0.3">
      <c r="A51" s="234" t="s">
        <v>18</v>
      </c>
      <c r="B51" s="235">
        <f>AVERAGE(B45:B50)</f>
        <v>6089526.833333333</v>
      </c>
      <c r="C51" s="236">
        <f>AVERAGE(C45:C50)</f>
        <v>212204.16666666666</v>
      </c>
      <c r="D51" s="237">
        <f>AVERAGE(D45:D50)</f>
        <v>1.2</v>
      </c>
      <c r="E51" s="237">
        <f>AVERAGE(E45:E50)</f>
        <v>17.003333333333334</v>
      </c>
    </row>
    <row r="52" spans="1:7" ht="16.5" customHeight="1" x14ac:dyDescent="0.3">
      <c r="A52" s="238" t="s">
        <v>19</v>
      </c>
      <c r="B52" s="239">
        <f>(STDEV(B45:B50)/B51)</f>
        <v>1.4061164205120444E-2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22</v>
      </c>
      <c r="C55" s="248"/>
      <c r="D55" s="248"/>
      <c r="E55" s="248"/>
    </row>
    <row r="56" spans="1:7" ht="16.5" customHeight="1" x14ac:dyDescent="0.3">
      <c r="A56" s="222"/>
      <c r="B56" s="247" t="s">
        <v>23</v>
      </c>
      <c r="C56" s="248"/>
      <c r="D56" s="248"/>
      <c r="E56" s="248"/>
    </row>
    <row r="57" spans="1:7" ht="16.5" customHeight="1" x14ac:dyDescent="0.3">
      <c r="A57" s="222"/>
      <c r="B57" s="247" t="s">
        <v>24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252"/>
      <c r="G58" s="252"/>
    </row>
    <row r="59" spans="1:7" ht="15" customHeight="1" x14ac:dyDescent="0.3">
      <c r="B59" s="260" t="s">
        <v>26</v>
      </c>
      <c r="C59" s="260"/>
      <c r="E59" s="253" t="s">
        <v>27</v>
      </c>
      <c r="F59" s="254"/>
      <c r="G59" s="253" t="s">
        <v>28</v>
      </c>
    </row>
    <row r="60" spans="1:7" ht="15" customHeight="1" x14ac:dyDescent="0.3">
      <c r="A60" s="255" t="s">
        <v>29</v>
      </c>
      <c r="B60" s="256"/>
      <c r="C60" s="256"/>
      <c r="E60" s="256"/>
      <c r="G60" s="256"/>
    </row>
    <row r="61" spans="1:7" ht="15" customHeight="1" x14ac:dyDescent="0.3">
      <c r="A61" s="255" t="s">
        <v>30</v>
      </c>
      <c r="B61" s="257"/>
      <c r="C61" s="257"/>
      <c r="E61" s="257"/>
      <c r="G61" s="2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7" workbookViewId="0">
      <selection activeCell="C24" sqref="C24:C29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252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259" t="s">
        <v>0</v>
      </c>
      <c r="B15" s="259"/>
      <c r="C15" s="259"/>
      <c r="D15" s="259"/>
      <c r="E15" s="259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125</v>
      </c>
      <c r="D17" s="220"/>
      <c r="E17" s="221"/>
    </row>
    <row r="18" spans="1:5" ht="16.5" customHeight="1" x14ac:dyDescent="0.3">
      <c r="A18" s="222" t="s">
        <v>4</v>
      </c>
      <c r="B18" s="223" t="s">
        <v>134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99.3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28.63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0.11452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49275180</v>
      </c>
      <c r="C24" s="229">
        <v>175890.7</v>
      </c>
      <c r="D24" s="230">
        <v>1.1000000000000001</v>
      </c>
      <c r="E24" s="231">
        <v>23.4</v>
      </c>
    </row>
    <row r="25" spans="1:5" ht="16.5" customHeight="1" x14ac:dyDescent="0.3">
      <c r="A25" s="228">
        <v>2</v>
      </c>
      <c r="B25" s="229">
        <v>49116614</v>
      </c>
      <c r="C25" s="229">
        <v>176012.3</v>
      </c>
      <c r="D25" s="230">
        <v>1</v>
      </c>
      <c r="E25" s="230">
        <v>23.4</v>
      </c>
    </row>
    <row r="26" spans="1:5" ht="16.5" customHeight="1" x14ac:dyDescent="0.3">
      <c r="A26" s="228">
        <v>3</v>
      </c>
      <c r="B26" s="229">
        <v>49281169</v>
      </c>
      <c r="C26" s="229">
        <v>175549.4</v>
      </c>
      <c r="D26" s="230">
        <v>1.1000000000000001</v>
      </c>
      <c r="E26" s="230">
        <v>23.4</v>
      </c>
    </row>
    <row r="27" spans="1:5" ht="16.5" customHeight="1" x14ac:dyDescent="0.3">
      <c r="A27" s="228">
        <v>4</v>
      </c>
      <c r="B27" s="229">
        <v>49074158</v>
      </c>
      <c r="C27" s="229">
        <v>176084.5</v>
      </c>
      <c r="D27" s="230">
        <v>1.1000000000000001</v>
      </c>
      <c r="E27" s="230">
        <v>23.4</v>
      </c>
    </row>
    <row r="28" spans="1:5" ht="16.5" customHeight="1" x14ac:dyDescent="0.3">
      <c r="A28" s="228">
        <v>5</v>
      </c>
      <c r="B28" s="229">
        <v>49302443</v>
      </c>
      <c r="C28" s="229">
        <v>176273</v>
      </c>
      <c r="D28" s="230">
        <v>1</v>
      </c>
      <c r="E28" s="230">
        <v>23.4</v>
      </c>
    </row>
    <row r="29" spans="1:5" ht="16.5" customHeight="1" x14ac:dyDescent="0.3">
      <c r="A29" s="228">
        <v>6</v>
      </c>
      <c r="B29" s="232">
        <v>49354872</v>
      </c>
      <c r="C29" s="232">
        <v>176431.4</v>
      </c>
      <c r="D29" s="233">
        <v>1.1000000000000001</v>
      </c>
      <c r="E29" s="233">
        <v>23.4</v>
      </c>
    </row>
    <row r="30" spans="1:5" ht="16.5" customHeight="1" x14ac:dyDescent="0.3">
      <c r="A30" s="234" t="s">
        <v>18</v>
      </c>
      <c r="B30" s="235">
        <f>AVERAGE(B24:B29)</f>
        <v>49234072.666666664</v>
      </c>
      <c r="C30" s="236">
        <f>AVERAGE(C24:C29)</f>
        <v>176040.21666666667</v>
      </c>
      <c r="D30" s="237">
        <f>AVERAGE(D24:D29)</f>
        <v>1.0666666666666667</v>
      </c>
      <c r="E30" s="237">
        <f>AVERAGE(E24:E29)</f>
        <v>23.400000000000002</v>
      </c>
    </row>
    <row r="31" spans="1:5" ht="16.5" customHeight="1" x14ac:dyDescent="0.3">
      <c r="A31" s="238" t="s">
        <v>19</v>
      </c>
      <c r="B31" s="239">
        <f>(STDEV(B24:B29)/B30)</f>
        <v>2.271655140385295E-3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22</v>
      </c>
      <c r="C34" s="248"/>
      <c r="D34" s="248"/>
      <c r="E34" s="248"/>
    </row>
    <row r="35" spans="1:5" ht="16.5" customHeight="1" x14ac:dyDescent="0.3">
      <c r="A35" s="222"/>
      <c r="B35" s="247" t="s">
        <v>23</v>
      </c>
      <c r="C35" s="248"/>
      <c r="D35" s="248"/>
      <c r="E35" s="248"/>
    </row>
    <row r="36" spans="1:5" ht="16.5" customHeight="1" x14ac:dyDescent="0.3">
      <c r="A36" s="222"/>
      <c r="B36" s="247" t="s">
        <v>24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25</v>
      </c>
    </row>
    <row r="39" spans="1:5" ht="16.5" customHeight="1" x14ac:dyDescent="0.3">
      <c r="A39" s="222" t="s">
        <v>4</v>
      </c>
      <c r="B39" s="219" t="s">
        <v>134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99.3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28.63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0.11452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49314358</v>
      </c>
      <c r="C45" s="229">
        <v>175890.7</v>
      </c>
      <c r="D45" s="230">
        <v>1.1000000000000001</v>
      </c>
      <c r="E45" s="231">
        <v>23.4</v>
      </c>
    </row>
    <row r="46" spans="1:5" ht="16.5" customHeight="1" x14ac:dyDescent="0.3">
      <c r="A46" s="228">
        <v>2</v>
      </c>
      <c r="B46" s="229">
        <v>49164744</v>
      </c>
      <c r="C46" s="229">
        <v>176012.3</v>
      </c>
      <c r="D46" s="230">
        <v>1</v>
      </c>
      <c r="E46" s="230">
        <v>23.4</v>
      </c>
    </row>
    <row r="47" spans="1:5" ht="16.5" customHeight="1" x14ac:dyDescent="0.3">
      <c r="A47" s="228">
        <v>3</v>
      </c>
      <c r="B47" s="229">
        <v>49342190</v>
      </c>
      <c r="C47" s="229">
        <v>175549.4</v>
      </c>
      <c r="D47" s="230">
        <v>1.1000000000000001</v>
      </c>
      <c r="E47" s="230">
        <v>23.4</v>
      </c>
    </row>
    <row r="48" spans="1:5" ht="16.5" customHeight="1" x14ac:dyDescent="0.3">
      <c r="A48" s="228">
        <v>4</v>
      </c>
      <c r="B48" s="229">
        <v>49151357</v>
      </c>
      <c r="C48" s="229">
        <v>176084.5</v>
      </c>
      <c r="D48" s="230">
        <v>1.1000000000000001</v>
      </c>
      <c r="E48" s="230">
        <v>23.4</v>
      </c>
    </row>
    <row r="49" spans="1:7" ht="16.5" customHeight="1" x14ac:dyDescent="0.3">
      <c r="A49" s="228">
        <v>5</v>
      </c>
      <c r="B49" s="229">
        <v>49365418</v>
      </c>
      <c r="C49" s="229">
        <v>176273</v>
      </c>
      <c r="D49" s="230">
        <v>1</v>
      </c>
      <c r="E49" s="230">
        <v>23.4</v>
      </c>
    </row>
    <row r="50" spans="1:7" ht="16.5" customHeight="1" x14ac:dyDescent="0.3">
      <c r="A50" s="228">
        <v>6</v>
      </c>
      <c r="B50" s="232">
        <v>49423463</v>
      </c>
      <c r="C50" s="232">
        <v>176431.4</v>
      </c>
      <c r="D50" s="233">
        <v>1.1000000000000001</v>
      </c>
      <c r="E50" s="233">
        <v>23.4</v>
      </c>
    </row>
    <row r="51" spans="1:7" ht="16.5" customHeight="1" x14ac:dyDescent="0.3">
      <c r="A51" s="234" t="s">
        <v>18</v>
      </c>
      <c r="B51" s="235">
        <f>AVERAGE(B45:B50)</f>
        <v>49293588.333333336</v>
      </c>
      <c r="C51" s="236">
        <f>AVERAGE(C45:C50)</f>
        <v>176040.21666666667</v>
      </c>
      <c r="D51" s="237">
        <f>AVERAGE(D45:D50)</f>
        <v>1.0666666666666667</v>
      </c>
      <c r="E51" s="237">
        <f>AVERAGE(E45:E50)</f>
        <v>23.400000000000002</v>
      </c>
    </row>
    <row r="52" spans="1:7" ht="16.5" customHeight="1" x14ac:dyDescent="0.3">
      <c r="A52" s="238" t="s">
        <v>19</v>
      </c>
      <c r="B52" s="239">
        <f>(STDEV(B45:B50)/B51)</f>
        <v>2.2526555371855011E-3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22</v>
      </c>
      <c r="C55" s="248"/>
      <c r="D55" s="248"/>
      <c r="E55" s="248"/>
    </row>
    <row r="56" spans="1:7" ht="16.5" customHeight="1" x14ac:dyDescent="0.3">
      <c r="A56" s="222"/>
      <c r="B56" s="247" t="s">
        <v>23</v>
      </c>
      <c r="C56" s="248"/>
      <c r="D56" s="248"/>
      <c r="E56" s="248"/>
    </row>
    <row r="57" spans="1:7" ht="16.5" customHeight="1" x14ac:dyDescent="0.3">
      <c r="A57" s="222"/>
      <c r="B57" s="247" t="s">
        <v>24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252"/>
      <c r="G58" s="252"/>
    </row>
    <row r="59" spans="1:7" ht="15" customHeight="1" x14ac:dyDescent="0.3">
      <c r="B59" s="260" t="s">
        <v>26</v>
      </c>
      <c r="C59" s="260"/>
      <c r="E59" s="253" t="s">
        <v>27</v>
      </c>
      <c r="F59" s="254"/>
      <c r="G59" s="253" t="s">
        <v>28</v>
      </c>
    </row>
    <row r="60" spans="1:7" ht="15" customHeight="1" x14ac:dyDescent="0.3">
      <c r="A60" s="255" t="s">
        <v>29</v>
      </c>
      <c r="B60" s="256"/>
      <c r="C60" s="256"/>
      <c r="E60" s="256"/>
      <c r="G60" s="256"/>
    </row>
    <row r="61" spans="1:7" ht="15" customHeight="1" x14ac:dyDescent="0.3">
      <c r="A61" s="255" t="s">
        <v>30</v>
      </c>
      <c r="B61" s="257"/>
      <c r="C61" s="257"/>
      <c r="E61" s="257"/>
      <c r="G61" s="2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86" zoomScale="85" zoomScaleNormal="40" zoomScalePageLayoutView="85" workbookViewId="0">
      <selection activeCell="F93" sqref="F9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1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thickBot="1" x14ac:dyDescent="0.35">
      <c r="A15" s="52"/>
    </row>
    <row r="16" spans="1:9" ht="19.5" customHeight="1" thickBot="1" x14ac:dyDescent="0.35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53" t="s">
        <v>33</v>
      </c>
      <c r="B18" s="297" t="s">
        <v>125</v>
      </c>
      <c r="C18" s="297"/>
      <c r="D18" s="54"/>
      <c r="E18" s="55"/>
      <c r="F18" s="56"/>
      <c r="G18" s="56"/>
      <c r="H18" s="56"/>
    </row>
    <row r="19" spans="1:14" ht="26.25" customHeight="1" x14ac:dyDescent="0.4">
      <c r="A19" s="53" t="s">
        <v>34</v>
      </c>
      <c r="B19" s="57" t="s">
        <v>7</v>
      </c>
      <c r="C19" s="56">
        <v>29</v>
      </c>
      <c r="D19" s="56"/>
      <c r="E19" s="56"/>
      <c r="F19" s="56"/>
      <c r="G19" s="56"/>
      <c r="H19" s="56"/>
    </row>
    <row r="20" spans="1:14" ht="26.25" customHeight="1" x14ac:dyDescent="0.4">
      <c r="A20" s="53" t="s">
        <v>35</v>
      </c>
      <c r="B20" s="298" t="s">
        <v>126</v>
      </c>
      <c r="C20" s="298"/>
      <c r="D20" s="56"/>
      <c r="E20" s="56"/>
      <c r="F20" s="56"/>
      <c r="G20" s="56"/>
      <c r="H20" s="56"/>
    </row>
    <row r="21" spans="1:14" ht="26.25" customHeight="1" x14ac:dyDescent="0.4">
      <c r="A21" s="53" t="s">
        <v>36</v>
      </c>
      <c r="B21" s="298" t="s">
        <v>11</v>
      </c>
      <c r="C21" s="298"/>
      <c r="D21" s="298"/>
      <c r="E21" s="298"/>
      <c r="F21" s="298"/>
      <c r="G21" s="298"/>
      <c r="H21" s="298"/>
      <c r="I21" s="58"/>
    </row>
    <row r="22" spans="1:14" ht="26.25" customHeight="1" x14ac:dyDescent="0.4">
      <c r="A22" s="53" t="s">
        <v>37</v>
      </c>
      <c r="B22" s="59" t="s">
        <v>127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3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3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97" t="s">
        <v>130</v>
      </c>
      <c r="C26" s="297"/>
    </row>
    <row r="27" spans="1:14" ht="26.25" customHeight="1" x14ac:dyDescent="0.4">
      <c r="A27" s="63" t="s">
        <v>48</v>
      </c>
      <c r="B27" s="299" t="s">
        <v>131</v>
      </c>
      <c r="C27" s="299"/>
    </row>
    <row r="28" spans="1:14" ht="27" customHeight="1" thickBot="1" x14ac:dyDescent="0.45">
      <c r="A28" s="63" t="s">
        <v>6</v>
      </c>
      <c r="B28" s="64">
        <v>84.06</v>
      </c>
    </row>
    <row r="29" spans="1:14" s="49" customFormat="1" ht="27" customHeight="1" thickBot="1" x14ac:dyDescent="0.45">
      <c r="A29" s="63" t="s">
        <v>49</v>
      </c>
      <c r="B29" s="65">
        <v>0</v>
      </c>
      <c r="C29" s="280" t="s">
        <v>50</v>
      </c>
      <c r="D29" s="281"/>
      <c r="E29" s="281"/>
      <c r="F29" s="281"/>
      <c r="G29" s="282"/>
      <c r="I29" s="66"/>
      <c r="J29" s="66"/>
      <c r="K29" s="66"/>
      <c r="L29" s="66"/>
    </row>
    <row r="30" spans="1:14" s="49" customFormat="1" ht="19.5" customHeight="1" thickBot="1" x14ac:dyDescent="0.35">
      <c r="A30" s="63" t="s">
        <v>51</v>
      </c>
      <c r="B30" s="67">
        <f>B28-B29</f>
        <v>84.06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9" customFormat="1" ht="27" customHeight="1" thickBot="1" x14ac:dyDescent="0.45">
      <c r="A31" s="63" t="s">
        <v>52</v>
      </c>
      <c r="B31" s="70">
        <v>1</v>
      </c>
      <c r="C31" s="283" t="s">
        <v>53</v>
      </c>
      <c r="D31" s="284"/>
      <c r="E31" s="284"/>
      <c r="F31" s="284"/>
      <c r="G31" s="284"/>
      <c r="H31" s="285"/>
      <c r="I31" s="66"/>
      <c r="J31" s="66"/>
      <c r="K31" s="66"/>
      <c r="L31" s="66"/>
    </row>
    <row r="32" spans="1:14" s="49" customFormat="1" ht="27" customHeight="1" thickBot="1" x14ac:dyDescent="0.45">
      <c r="A32" s="63" t="s">
        <v>54</v>
      </c>
      <c r="B32" s="70">
        <v>1</v>
      </c>
      <c r="C32" s="283" t="s">
        <v>55</v>
      </c>
      <c r="D32" s="284"/>
      <c r="E32" s="284"/>
      <c r="F32" s="284"/>
      <c r="G32" s="284"/>
      <c r="H32" s="285"/>
      <c r="I32" s="66"/>
      <c r="J32" s="66"/>
      <c r="K32" s="66"/>
      <c r="L32" s="71"/>
      <c r="M32" s="71"/>
      <c r="N32" s="72"/>
    </row>
    <row r="33" spans="1:14" s="49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9" customFormat="1" ht="18.75" x14ac:dyDescent="0.3">
      <c r="A34" s="63" t="s">
        <v>56</v>
      </c>
      <c r="B34" s="75">
        <f>B31/B32</f>
        <v>1</v>
      </c>
      <c r="C34" s="52" t="s">
        <v>57</v>
      </c>
      <c r="D34" s="52"/>
      <c r="E34" s="52"/>
      <c r="F34" s="52"/>
      <c r="G34" s="52"/>
      <c r="I34" s="66"/>
      <c r="J34" s="66"/>
      <c r="K34" s="66"/>
      <c r="L34" s="71"/>
      <c r="M34" s="71"/>
      <c r="N34" s="72"/>
    </row>
    <row r="35" spans="1:14" s="49" customFormat="1" ht="19.5" customHeight="1" thickBot="1" x14ac:dyDescent="0.35">
      <c r="A35" s="63"/>
      <c r="B35" s="67"/>
      <c r="G35" s="52"/>
      <c r="I35" s="66"/>
      <c r="J35" s="66"/>
      <c r="K35" s="66"/>
      <c r="L35" s="71"/>
      <c r="M35" s="71"/>
      <c r="N35" s="72"/>
    </row>
    <row r="36" spans="1:14" s="49" customFormat="1" ht="27" customHeight="1" thickBot="1" x14ac:dyDescent="0.45">
      <c r="A36" s="76" t="s">
        <v>58</v>
      </c>
      <c r="B36" s="77">
        <v>25</v>
      </c>
      <c r="C36" s="52"/>
      <c r="D36" s="270" t="s">
        <v>59</v>
      </c>
      <c r="E36" s="290"/>
      <c r="F36" s="270" t="s">
        <v>60</v>
      </c>
      <c r="G36" s="271"/>
      <c r="J36" s="66"/>
      <c r="K36" s="66"/>
      <c r="L36" s="71"/>
      <c r="M36" s="71"/>
      <c r="N36" s="72"/>
    </row>
    <row r="37" spans="1:14" s="49" customFormat="1" ht="27" customHeight="1" thickBot="1" x14ac:dyDescent="0.45">
      <c r="A37" s="78" t="s">
        <v>61</v>
      </c>
      <c r="B37" s="79">
        <v>5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49" customFormat="1" ht="26.25" customHeight="1" x14ac:dyDescent="0.4">
      <c r="A38" s="78" t="s">
        <v>66</v>
      </c>
      <c r="B38" s="79">
        <v>50</v>
      </c>
      <c r="C38" s="85">
        <v>1</v>
      </c>
      <c r="D38" s="86">
        <v>20184336</v>
      </c>
      <c r="E38" s="87">
        <f>IF(ISBLANK(D38),"-",$D$48/$D$45*D38)</f>
        <v>21606316.852261238</v>
      </c>
      <c r="F38" s="86">
        <v>18397933</v>
      </c>
      <c r="G38" s="88">
        <f>IF(ISBLANK(F38),"-",$D$48/$F$45*F38)</f>
        <v>20778482.14205043</v>
      </c>
      <c r="I38" s="89"/>
      <c r="J38" s="66"/>
      <c r="K38" s="66"/>
      <c r="L38" s="71"/>
      <c r="M38" s="71"/>
      <c r="N38" s="72"/>
    </row>
    <row r="39" spans="1:14" s="49" customFormat="1" ht="26.25" customHeight="1" x14ac:dyDescent="0.4">
      <c r="A39" s="78" t="s">
        <v>67</v>
      </c>
      <c r="B39" s="79">
        <v>1</v>
      </c>
      <c r="C39" s="90">
        <v>2</v>
      </c>
      <c r="D39" s="91">
        <v>20146580</v>
      </c>
      <c r="E39" s="92">
        <f>IF(ISBLANK(D39),"-",$D$48/$D$45*D39)</f>
        <v>21565900.952571798</v>
      </c>
      <c r="F39" s="86">
        <v>18468171</v>
      </c>
      <c r="G39" s="93">
        <f>IF(ISBLANK(F39),"-",$D$48/$F$45*F39)</f>
        <v>20857808.391835846</v>
      </c>
      <c r="I39" s="261">
        <f>ABS((F43/D43*D42)-F42)/D42</f>
        <v>3.1655422507830329E-2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91">
        <v>20160156</v>
      </c>
      <c r="E40" s="92">
        <f>IF(ISBLANK(D40),"-",$D$48/$D$45*D40)</f>
        <v>21580433.377992496</v>
      </c>
      <c r="F40" s="91">
        <v>18553095</v>
      </c>
      <c r="G40" s="93">
        <f>IF(ISBLANK(F40),"-",$D$48/$F$45*F40)</f>
        <v>20953720.895562839</v>
      </c>
      <c r="I40" s="261"/>
      <c r="L40" s="71"/>
      <c r="M40" s="71"/>
      <c r="N40" s="52"/>
    </row>
    <row r="41" spans="1:14" ht="27" customHeight="1" thickBot="1" x14ac:dyDescent="0.45">
      <c r="A41" s="78" t="s">
        <v>69</v>
      </c>
      <c r="B41" s="79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1"/>
      <c r="M41" s="71"/>
      <c r="N41" s="52"/>
    </row>
    <row r="42" spans="1:14" ht="27" customHeight="1" thickBot="1" x14ac:dyDescent="0.45">
      <c r="A42" s="78" t="s">
        <v>70</v>
      </c>
      <c r="B42" s="79">
        <v>1</v>
      </c>
      <c r="C42" s="99" t="s">
        <v>71</v>
      </c>
      <c r="D42" s="100">
        <f>AVERAGE(D38:D41)</f>
        <v>20163690.666666668</v>
      </c>
      <c r="E42" s="101">
        <f>AVERAGE(E38:E41)</f>
        <v>21584217.060941845</v>
      </c>
      <c r="F42" s="100">
        <f>AVERAGE(F38:F41)</f>
        <v>18473066.333333332</v>
      </c>
      <c r="G42" s="102">
        <f>AVERAGE(G38:G41)</f>
        <v>20863337.143149704</v>
      </c>
      <c r="H42" s="50"/>
    </row>
    <row r="43" spans="1:14" ht="26.25" customHeight="1" x14ac:dyDescent="0.4">
      <c r="A43" s="78" t="s">
        <v>72</v>
      </c>
      <c r="B43" s="79">
        <v>1</v>
      </c>
      <c r="C43" s="103" t="s">
        <v>73</v>
      </c>
      <c r="D43" s="104">
        <v>16.670000000000002</v>
      </c>
      <c r="E43" s="52"/>
      <c r="F43" s="104">
        <v>15.8</v>
      </c>
      <c r="H43" s="50"/>
    </row>
    <row r="44" spans="1:14" ht="26.25" customHeight="1" x14ac:dyDescent="0.4">
      <c r="A44" s="78" t="s">
        <v>74</v>
      </c>
      <c r="B44" s="79">
        <v>1</v>
      </c>
      <c r="C44" s="105" t="s">
        <v>75</v>
      </c>
      <c r="D44" s="106">
        <f>D43*$B$34</f>
        <v>16.670000000000002</v>
      </c>
      <c r="E44" s="107"/>
      <c r="F44" s="106">
        <f>F43*$B$34</f>
        <v>15.8</v>
      </c>
      <c r="H44" s="50"/>
    </row>
    <row r="45" spans="1:14" ht="19.5" customHeight="1" thickBot="1" x14ac:dyDescent="0.35">
      <c r="A45" s="78" t="s">
        <v>76</v>
      </c>
      <c r="B45" s="90">
        <f>(B44/B43)*(B42/B41)*(B40/B39)*(B38/B37)*B36</f>
        <v>250</v>
      </c>
      <c r="C45" s="105" t="s">
        <v>77</v>
      </c>
      <c r="D45" s="108">
        <f>D44*$B$30/100</f>
        <v>14.012802000000001</v>
      </c>
      <c r="E45" s="109"/>
      <c r="F45" s="108">
        <f>F44*$B$30/100</f>
        <v>13.281480000000002</v>
      </c>
      <c r="H45" s="50"/>
    </row>
    <row r="46" spans="1:14" ht="19.5" customHeight="1" thickBot="1" x14ac:dyDescent="0.35">
      <c r="A46" s="262" t="s">
        <v>78</v>
      </c>
      <c r="B46" s="266"/>
      <c r="C46" s="105" t="s">
        <v>79</v>
      </c>
      <c r="D46" s="110">
        <f>D45/$B$45</f>
        <v>5.6051208000000005E-2</v>
      </c>
      <c r="E46" s="111"/>
      <c r="F46" s="112">
        <f>F45/$B$45</f>
        <v>5.3125920000000007E-2</v>
      </c>
      <c r="H46" s="50"/>
    </row>
    <row r="47" spans="1:14" ht="27" customHeight="1" thickBot="1" x14ac:dyDescent="0.45">
      <c r="A47" s="264"/>
      <c r="B47" s="267"/>
      <c r="C47" s="113" t="s">
        <v>80</v>
      </c>
      <c r="D47" s="114">
        <v>0.06</v>
      </c>
      <c r="E47" s="115"/>
      <c r="F47" s="111"/>
      <c r="H47" s="50"/>
    </row>
    <row r="48" spans="1:14" ht="18.75" x14ac:dyDescent="0.3">
      <c r="C48" s="116" t="s">
        <v>81</v>
      </c>
      <c r="D48" s="108">
        <f>D47*$B$45</f>
        <v>15</v>
      </c>
      <c r="F48" s="117"/>
      <c r="H48" s="50"/>
    </row>
    <row r="49" spans="1:12" ht="19.5" customHeight="1" thickBot="1" x14ac:dyDescent="0.35">
      <c r="C49" s="118" t="s">
        <v>82</v>
      </c>
      <c r="D49" s="119">
        <f>D48/B34</f>
        <v>15</v>
      </c>
      <c r="F49" s="117"/>
      <c r="H49" s="50"/>
    </row>
    <row r="50" spans="1:12" ht="18.75" x14ac:dyDescent="0.3">
      <c r="C50" s="76" t="s">
        <v>83</v>
      </c>
      <c r="D50" s="120">
        <f>AVERAGE(E38:E41,G38:G41)</f>
        <v>21223777.102045778</v>
      </c>
      <c r="F50" s="121"/>
      <c r="H50" s="50"/>
    </row>
    <row r="51" spans="1:12" ht="18.75" x14ac:dyDescent="0.3">
      <c r="C51" s="78" t="s">
        <v>84</v>
      </c>
      <c r="D51" s="122">
        <f>STDEV(E38:E41,G38:G41)/D50</f>
        <v>1.8796541823201996E-2</v>
      </c>
      <c r="F51" s="121"/>
      <c r="H51" s="50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2" t="s">
        <v>86</v>
      </c>
      <c r="B55" s="127" t="str">
        <f>B21</f>
        <v>Tenofovir Disoproxil Fumarate 300mg, Lamivudine 300mg, Efavirenz 600mg</v>
      </c>
    </row>
    <row r="56" spans="1:12" ht="26.25" customHeight="1" x14ac:dyDescent="0.4">
      <c r="A56" s="127" t="s">
        <v>87</v>
      </c>
      <c r="B56" s="128">
        <v>300</v>
      </c>
      <c r="C56" s="52" t="str">
        <f>B20</f>
        <v xml:space="preserve">Tenofovir Disoproxil Fumarate 300mg, Lamivudine 300mg &amp; Efavirenz 600mg </v>
      </c>
      <c r="H56" s="107"/>
    </row>
    <row r="57" spans="1:12" ht="18.75" x14ac:dyDescent="0.3">
      <c r="A57" s="127" t="s">
        <v>88</v>
      </c>
      <c r="B57" s="129">
        <f>Uniformity!C46</f>
        <v>1897.2600000000002</v>
      </c>
      <c r="H57" s="107"/>
    </row>
    <row r="58" spans="1:12" ht="19.5" customHeight="1" thickBot="1" x14ac:dyDescent="0.35">
      <c r="H58" s="107"/>
    </row>
    <row r="59" spans="1:12" s="49" customFormat="1" ht="27" customHeight="1" thickBot="1" x14ac:dyDescent="0.45">
      <c r="A59" s="76" t="s">
        <v>89</v>
      </c>
      <c r="B59" s="77">
        <v>200</v>
      </c>
      <c r="C59" s="52"/>
      <c r="D59" s="130" t="s">
        <v>90</v>
      </c>
      <c r="E59" s="131" t="s">
        <v>62</v>
      </c>
      <c r="F59" s="131" t="s">
        <v>63</v>
      </c>
      <c r="G59" s="131" t="s">
        <v>91</v>
      </c>
      <c r="H59" s="80" t="s">
        <v>92</v>
      </c>
      <c r="L59" s="66"/>
    </row>
    <row r="60" spans="1:12" s="49" customFormat="1" ht="26.25" customHeight="1" x14ac:dyDescent="0.4">
      <c r="A60" s="78" t="s">
        <v>93</v>
      </c>
      <c r="B60" s="79">
        <v>4</v>
      </c>
      <c r="C60" s="272" t="s">
        <v>94</v>
      </c>
      <c r="D60" s="275">
        <v>1894.27</v>
      </c>
      <c r="E60" s="132">
        <v>1</v>
      </c>
      <c r="F60" s="133">
        <v>20432841</v>
      </c>
      <c r="G60" s="134">
        <f>IF(ISBLANK(F60),"-",(F60/$D$50*$D$47*$B$68)*($B$57/$D$60))</f>
        <v>289.27593339891592</v>
      </c>
      <c r="H60" s="135">
        <f t="shared" ref="H60:H71" si="0">IF(ISBLANK(F60),"-",G60/$B$56)</f>
        <v>0.9642531113297198</v>
      </c>
      <c r="L60" s="66"/>
    </row>
    <row r="61" spans="1:12" s="49" customFormat="1" ht="26.25" customHeight="1" x14ac:dyDescent="0.4">
      <c r="A61" s="78" t="s">
        <v>95</v>
      </c>
      <c r="B61" s="79">
        <v>100</v>
      </c>
      <c r="C61" s="273"/>
      <c r="D61" s="276"/>
      <c r="E61" s="136">
        <v>2</v>
      </c>
      <c r="F61" s="91">
        <v>20368645</v>
      </c>
      <c r="G61" s="137">
        <f>IF(ISBLANK(F61),"-",(F61/$D$50*$D$47*$B$68)*($B$57/$D$60))</f>
        <v>288.36708485355325</v>
      </c>
      <c r="H61" s="138">
        <f t="shared" si="0"/>
        <v>0.96122361617851082</v>
      </c>
      <c r="L61" s="66"/>
    </row>
    <row r="62" spans="1:12" s="49" customFormat="1" ht="26.25" customHeight="1" x14ac:dyDescent="0.4">
      <c r="A62" s="78" t="s">
        <v>96</v>
      </c>
      <c r="B62" s="79">
        <v>1</v>
      </c>
      <c r="C62" s="273"/>
      <c r="D62" s="276"/>
      <c r="E62" s="136">
        <v>3</v>
      </c>
      <c r="F62" s="139">
        <v>20466943</v>
      </c>
      <c r="G62" s="137">
        <f>IF(ISBLANK(F62),"-",(F62/$D$50*$D$47*$B$68)*($B$57/$D$60))</f>
        <v>289.75872910416172</v>
      </c>
      <c r="H62" s="138">
        <f t="shared" si="0"/>
        <v>0.96586243034720576</v>
      </c>
      <c r="L62" s="66"/>
    </row>
    <row r="63" spans="1:12" ht="27" customHeight="1" thickBot="1" x14ac:dyDescent="0.45">
      <c r="A63" s="78" t="s">
        <v>97</v>
      </c>
      <c r="B63" s="79">
        <v>1</v>
      </c>
      <c r="C63" s="274"/>
      <c r="D63" s="277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272" t="s">
        <v>99</v>
      </c>
      <c r="D64" s="275">
        <v>1895.53</v>
      </c>
      <c r="E64" s="132">
        <v>1</v>
      </c>
      <c r="F64" s="133">
        <v>19913537</v>
      </c>
      <c r="G64" s="142">
        <f>IF(ISBLANK(F64),"-",(F64/$D$50*$D$47*$B$68)*($B$57/$D$64))</f>
        <v>281.73653721036766</v>
      </c>
      <c r="H64" s="143">
        <f t="shared" si="0"/>
        <v>0.93912179070122548</v>
      </c>
    </row>
    <row r="65" spans="1:8" ht="26.25" customHeight="1" x14ac:dyDescent="0.4">
      <c r="A65" s="78" t="s">
        <v>100</v>
      </c>
      <c r="B65" s="79">
        <v>1</v>
      </c>
      <c r="C65" s="273"/>
      <c r="D65" s="276"/>
      <c r="E65" s="136">
        <v>2</v>
      </c>
      <c r="F65" s="91">
        <v>19987768</v>
      </c>
      <c r="G65" s="144">
        <f>IF(ISBLANK(F65),"-",(F65/$D$50*$D$47*$B$68)*($B$57/$D$64))</f>
        <v>282.78675671148704</v>
      </c>
      <c r="H65" s="145">
        <f t="shared" si="0"/>
        <v>0.94262252237162347</v>
      </c>
    </row>
    <row r="66" spans="1:8" ht="26.25" customHeight="1" x14ac:dyDescent="0.4">
      <c r="A66" s="78" t="s">
        <v>101</v>
      </c>
      <c r="B66" s="79">
        <v>1</v>
      </c>
      <c r="C66" s="273"/>
      <c r="D66" s="276"/>
      <c r="E66" s="136">
        <v>3</v>
      </c>
      <c r="F66" s="91">
        <v>20000837</v>
      </c>
      <c r="G66" s="144">
        <f>IF(ISBLANK(F66),"-",(F66/$D$50*$D$47*$B$68)*($B$57/$D$64))</f>
        <v>282.97165680255586</v>
      </c>
      <c r="H66" s="145">
        <f t="shared" si="0"/>
        <v>0.94323885600851953</v>
      </c>
    </row>
    <row r="67" spans="1:8" ht="27" customHeight="1" thickBot="1" x14ac:dyDescent="0.45">
      <c r="A67" s="78" t="s">
        <v>102</v>
      </c>
      <c r="B67" s="79">
        <v>1</v>
      </c>
      <c r="C67" s="274"/>
      <c r="D67" s="277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8" t="s">
        <v>103</v>
      </c>
      <c r="B68" s="148">
        <f>(B67/B66)*(B65/B64)*(B63/B62)*(B61/B60)*B59</f>
        <v>5000</v>
      </c>
      <c r="C68" s="272" t="s">
        <v>104</v>
      </c>
      <c r="D68" s="275">
        <v>1897.44</v>
      </c>
      <c r="E68" s="132">
        <v>1</v>
      </c>
      <c r="F68" s="133">
        <v>20134471</v>
      </c>
      <c r="G68" s="142">
        <f>IF(ISBLANK(F68),"-",(F68/$D$50*$D$47*$B$68)*($B$57/$D$68))</f>
        <v>284.57556145817284</v>
      </c>
      <c r="H68" s="138">
        <f t="shared" si="0"/>
        <v>0.94858520486057618</v>
      </c>
    </row>
    <row r="69" spans="1:8" ht="27" customHeight="1" thickBot="1" x14ac:dyDescent="0.45">
      <c r="A69" s="123" t="s">
        <v>105</v>
      </c>
      <c r="B69" s="149">
        <f>(D47*B68)/B56*B57</f>
        <v>1897.2600000000002</v>
      </c>
      <c r="C69" s="273"/>
      <c r="D69" s="276"/>
      <c r="E69" s="136">
        <v>2</v>
      </c>
      <c r="F69" s="91">
        <v>20117583</v>
      </c>
      <c r="G69" s="144">
        <f>IF(ISBLANK(F69),"-",(F69/$D$50*$D$47*$B$68)*($B$57/$D$68))</f>
        <v>284.33687070330245</v>
      </c>
      <c r="H69" s="138">
        <f t="shared" si="0"/>
        <v>0.94778956901100819</v>
      </c>
    </row>
    <row r="70" spans="1:8" ht="26.25" customHeight="1" x14ac:dyDescent="0.4">
      <c r="A70" s="286" t="s">
        <v>78</v>
      </c>
      <c r="B70" s="287"/>
      <c r="C70" s="273"/>
      <c r="D70" s="276"/>
      <c r="E70" s="136">
        <v>3</v>
      </c>
      <c r="F70" s="91">
        <v>20180745</v>
      </c>
      <c r="G70" s="144">
        <f>IF(ISBLANK(F70),"-",(F70/$D$50*$D$47*$B$68)*($B$57/$D$68))</f>
        <v>285.2295865642169</v>
      </c>
      <c r="H70" s="138">
        <f t="shared" si="0"/>
        <v>0.95076528854738962</v>
      </c>
    </row>
    <row r="71" spans="1:8" ht="27" customHeight="1" thickBot="1" x14ac:dyDescent="0.45">
      <c r="A71" s="288"/>
      <c r="B71" s="289"/>
      <c r="C71" s="278"/>
      <c r="D71" s="277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71</v>
      </c>
      <c r="G72" s="152">
        <f>AVERAGE(G60:G71)</f>
        <v>285.44874631185922</v>
      </c>
      <c r="H72" s="153">
        <f>AVERAGE(H60:H71)</f>
        <v>0.95149582103953101</v>
      </c>
    </row>
    <row r="73" spans="1:8" ht="26.25" customHeight="1" x14ac:dyDescent="0.4">
      <c r="C73" s="107"/>
      <c r="D73" s="107"/>
      <c r="E73" s="107"/>
      <c r="F73" s="154" t="s">
        <v>84</v>
      </c>
      <c r="G73" s="155">
        <f>STDEV(G60:G71)/G72</f>
        <v>1.042103954781593E-2</v>
      </c>
      <c r="H73" s="155">
        <f>STDEV(H60:H71)/H72</f>
        <v>1.0421039547815945E-2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2" t="s">
        <v>106</v>
      </c>
      <c r="B76" s="63" t="s">
        <v>107</v>
      </c>
      <c r="C76" s="268" t="str">
        <f>B20</f>
        <v xml:space="preserve">Tenofovir Disoproxil Fumarate 300mg, Lamivudine 300mg &amp; Efavirenz 600mg </v>
      </c>
      <c r="D76" s="268"/>
      <c r="E76" s="52" t="s">
        <v>108</v>
      </c>
      <c r="F76" s="52"/>
      <c r="G76" s="158">
        <f>H72</f>
        <v>0.95149582103953101</v>
      </c>
      <c r="H76" s="67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79" t="str">
        <f>B26</f>
        <v>Lamivudine</v>
      </c>
      <c r="C79" s="279"/>
    </row>
    <row r="80" spans="1:8" ht="26.25" customHeight="1" x14ac:dyDescent="0.4">
      <c r="A80" s="63" t="s">
        <v>48</v>
      </c>
      <c r="B80" s="279" t="str">
        <f>B27</f>
        <v>L3-7</v>
      </c>
      <c r="C80" s="279"/>
    </row>
    <row r="81" spans="1:12" ht="27" customHeight="1" thickBot="1" x14ac:dyDescent="0.45">
      <c r="A81" s="63" t="s">
        <v>6</v>
      </c>
      <c r="B81" s="64">
        <f>B28</f>
        <v>84.06</v>
      </c>
    </row>
    <row r="82" spans="1:12" s="49" customFormat="1" ht="27" customHeight="1" thickBot="1" x14ac:dyDescent="0.45">
      <c r="A82" s="63" t="s">
        <v>49</v>
      </c>
      <c r="B82" s="65">
        <v>0</v>
      </c>
      <c r="C82" s="280" t="s">
        <v>50</v>
      </c>
      <c r="D82" s="281"/>
      <c r="E82" s="281"/>
      <c r="F82" s="281"/>
      <c r="G82" s="282"/>
      <c r="I82" s="66"/>
      <c r="J82" s="66"/>
      <c r="K82" s="66"/>
      <c r="L82" s="66"/>
    </row>
    <row r="83" spans="1:12" s="49" customFormat="1" ht="19.5" customHeight="1" thickBot="1" x14ac:dyDescent="0.35">
      <c r="A83" s="63" t="s">
        <v>51</v>
      </c>
      <c r="B83" s="67">
        <f>B81-B82</f>
        <v>84.06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9" customFormat="1" ht="27" customHeight="1" thickBot="1" x14ac:dyDescent="0.45">
      <c r="A84" s="63" t="s">
        <v>52</v>
      </c>
      <c r="B84" s="70">
        <v>1</v>
      </c>
      <c r="C84" s="283" t="s">
        <v>111</v>
      </c>
      <c r="D84" s="284"/>
      <c r="E84" s="284"/>
      <c r="F84" s="284"/>
      <c r="G84" s="284"/>
      <c r="H84" s="285"/>
      <c r="I84" s="66"/>
      <c r="J84" s="66"/>
      <c r="K84" s="66"/>
      <c r="L84" s="66"/>
    </row>
    <row r="85" spans="1:12" s="49" customFormat="1" ht="27" customHeight="1" thickBot="1" x14ac:dyDescent="0.45">
      <c r="A85" s="63" t="s">
        <v>54</v>
      </c>
      <c r="B85" s="70">
        <v>1</v>
      </c>
      <c r="C85" s="283" t="s">
        <v>112</v>
      </c>
      <c r="D85" s="284"/>
      <c r="E85" s="284"/>
      <c r="F85" s="284"/>
      <c r="G85" s="284"/>
      <c r="H85" s="285"/>
      <c r="I85" s="66"/>
      <c r="J85" s="66"/>
      <c r="K85" s="66"/>
      <c r="L85" s="66"/>
    </row>
    <row r="86" spans="1:12" s="49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9" customFormat="1" ht="18.75" x14ac:dyDescent="0.3">
      <c r="A87" s="63" t="s">
        <v>56</v>
      </c>
      <c r="B87" s="75">
        <f>B84/B85</f>
        <v>1</v>
      </c>
      <c r="C87" s="52" t="s">
        <v>57</v>
      </c>
      <c r="D87" s="52"/>
      <c r="E87" s="52"/>
      <c r="F87" s="52"/>
      <c r="G87" s="52"/>
      <c r="I87" s="66"/>
      <c r="J87" s="66"/>
      <c r="K87" s="66"/>
      <c r="L87" s="66"/>
    </row>
    <row r="88" spans="1:12" ht="19.5" customHeight="1" thickBot="1" x14ac:dyDescent="0.35">
      <c r="A88" s="61"/>
      <c r="B88" s="61"/>
    </row>
    <row r="89" spans="1:12" ht="27" customHeight="1" thickBot="1" x14ac:dyDescent="0.45">
      <c r="A89" s="76" t="s">
        <v>58</v>
      </c>
      <c r="B89" s="77">
        <v>25</v>
      </c>
      <c r="D89" s="159" t="s">
        <v>59</v>
      </c>
      <c r="E89" s="160"/>
      <c r="F89" s="270" t="s">
        <v>60</v>
      </c>
      <c r="G89" s="271"/>
    </row>
    <row r="90" spans="1:12" ht="27" customHeight="1" thickBot="1" x14ac:dyDescent="0.45">
      <c r="A90" s="78" t="s">
        <v>61</v>
      </c>
      <c r="B90" s="79">
        <v>10</v>
      </c>
      <c r="C90" s="161" t="s">
        <v>62</v>
      </c>
      <c r="D90" s="81" t="s">
        <v>63</v>
      </c>
      <c r="E90" s="82" t="s">
        <v>64</v>
      </c>
      <c r="F90" s="81" t="s">
        <v>63</v>
      </c>
      <c r="G90" s="162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20</v>
      </c>
      <c r="C91" s="163">
        <v>1</v>
      </c>
      <c r="D91" s="86">
        <v>92067547</v>
      </c>
      <c r="E91" s="87">
        <f>IF(ISBLANK(D91),"-",$D$101/$D$98*D91)</f>
        <v>102680615.40863667</v>
      </c>
      <c r="F91" s="86">
        <v>100618089</v>
      </c>
      <c r="G91" s="88">
        <f>IF(ISBLANK(F91),"-",$D$101/$F$98*F91)</f>
        <v>105615830.07935508</v>
      </c>
      <c r="I91" s="89"/>
    </row>
    <row r="92" spans="1:12" ht="26.25" customHeight="1" x14ac:dyDescent="0.4">
      <c r="A92" s="78" t="s">
        <v>67</v>
      </c>
      <c r="B92" s="79">
        <v>1</v>
      </c>
      <c r="C92" s="107">
        <v>2</v>
      </c>
      <c r="D92" s="91">
        <v>91825326</v>
      </c>
      <c r="E92" s="92">
        <f>IF(ISBLANK(D92),"-",$D$101/$D$98*D92)</f>
        <v>102410472.43040684</v>
      </c>
      <c r="F92" s="91">
        <v>100518821</v>
      </c>
      <c r="G92" s="93">
        <f>IF(ISBLANK(F92),"-",$D$101/$F$98*F92)</f>
        <v>105511631.39774111</v>
      </c>
      <c r="I92" s="261">
        <f>ABS((F96/D96*D95)-F95)/D95</f>
        <v>2.902234470119985E-2</v>
      </c>
    </row>
    <row r="93" spans="1:12" ht="26.25" customHeight="1" x14ac:dyDescent="0.4">
      <c r="A93" s="78" t="s">
        <v>68</v>
      </c>
      <c r="B93" s="79">
        <v>1</v>
      </c>
      <c r="C93" s="107">
        <v>3</v>
      </c>
      <c r="D93" s="91">
        <v>92134179</v>
      </c>
      <c r="E93" s="92">
        <f>IF(ISBLANK(D93),"-",$D$101/$D$98*D93)</f>
        <v>102754928.39935759</v>
      </c>
      <c r="F93" s="91">
        <v>100152785</v>
      </c>
      <c r="G93" s="93">
        <f>IF(ISBLANK(F93),"-",$D$101/$F$98*F93)</f>
        <v>105127414.24192804</v>
      </c>
      <c r="I93" s="261"/>
    </row>
    <row r="94" spans="1:12" ht="27" customHeight="1" thickBot="1" x14ac:dyDescent="0.45">
      <c r="A94" s="78" t="s">
        <v>69</v>
      </c>
      <c r="B94" s="79">
        <v>1</v>
      </c>
      <c r="C94" s="164">
        <v>4</v>
      </c>
      <c r="D94" s="95"/>
      <c r="E94" s="96" t="str">
        <f>IF(ISBLANK(D94),"-",$D$101/$D$98*D94)</f>
        <v>-</v>
      </c>
      <c r="F94" s="165"/>
      <c r="G94" s="97" t="str">
        <f>IF(ISBLANK(F94),"-",$D$101/$F$98*F94)</f>
        <v>-</v>
      </c>
      <c r="I94" s="98"/>
    </row>
    <row r="95" spans="1:12" ht="27" customHeight="1" thickBot="1" x14ac:dyDescent="0.45">
      <c r="A95" s="78" t="s">
        <v>70</v>
      </c>
      <c r="B95" s="79">
        <v>1</v>
      </c>
      <c r="C95" s="63" t="s">
        <v>71</v>
      </c>
      <c r="D95" s="166">
        <f>AVERAGE(D91:D94)</f>
        <v>92009017.333333328</v>
      </c>
      <c r="E95" s="101">
        <f>AVERAGE(E91:E94)</f>
        <v>102615338.74613369</v>
      </c>
      <c r="F95" s="167">
        <f>AVERAGE(F91:F94)</f>
        <v>100429898.33333333</v>
      </c>
      <c r="G95" s="168">
        <f>AVERAGE(G91:G94)</f>
        <v>105418291.90634142</v>
      </c>
    </row>
    <row r="96" spans="1:12" ht="26.25" customHeight="1" x14ac:dyDescent="0.4">
      <c r="A96" s="78" t="s">
        <v>72</v>
      </c>
      <c r="B96" s="64">
        <v>1</v>
      </c>
      <c r="C96" s="169" t="s">
        <v>113</v>
      </c>
      <c r="D96" s="170">
        <v>16</v>
      </c>
      <c r="E96" s="52"/>
      <c r="F96" s="104">
        <v>17</v>
      </c>
    </row>
    <row r="97" spans="1:10" ht="26.25" customHeight="1" x14ac:dyDescent="0.4">
      <c r="A97" s="78" t="s">
        <v>74</v>
      </c>
      <c r="B97" s="64">
        <v>1</v>
      </c>
      <c r="C97" s="171" t="s">
        <v>114</v>
      </c>
      <c r="D97" s="172">
        <f>D96*$B$87</f>
        <v>16</v>
      </c>
      <c r="E97" s="107"/>
      <c r="F97" s="106">
        <f>F96*$B$87</f>
        <v>17</v>
      </c>
    </row>
    <row r="98" spans="1:10" ht="19.5" customHeight="1" thickBot="1" x14ac:dyDescent="0.35">
      <c r="A98" s="78" t="s">
        <v>76</v>
      </c>
      <c r="B98" s="107">
        <f>(B97/B96)*(B95/B94)*(B93/B92)*(B91/B90)*B89</f>
        <v>50</v>
      </c>
      <c r="C98" s="171" t="s">
        <v>115</v>
      </c>
      <c r="D98" s="173">
        <f>D97*$B$83/100</f>
        <v>13.4496</v>
      </c>
      <c r="E98" s="109"/>
      <c r="F98" s="108">
        <f>F97*$B$83/100</f>
        <v>14.2902</v>
      </c>
    </row>
    <row r="99" spans="1:10" ht="19.5" customHeight="1" thickBot="1" x14ac:dyDescent="0.35">
      <c r="A99" s="262" t="s">
        <v>78</v>
      </c>
      <c r="B99" s="263"/>
      <c r="C99" s="171" t="s">
        <v>116</v>
      </c>
      <c r="D99" s="174">
        <f>D98/$B$98</f>
        <v>0.26899200000000001</v>
      </c>
      <c r="E99" s="109"/>
      <c r="F99" s="112">
        <f>F98/$B$98</f>
        <v>0.285804</v>
      </c>
      <c r="H99" s="50"/>
    </row>
    <row r="100" spans="1:10" ht="19.5" customHeight="1" thickBot="1" x14ac:dyDescent="0.35">
      <c r="A100" s="264"/>
      <c r="B100" s="265"/>
      <c r="C100" s="171" t="s">
        <v>80</v>
      </c>
      <c r="D100" s="175">
        <f>$B$56/$B$116</f>
        <v>0.3</v>
      </c>
      <c r="F100" s="117"/>
      <c r="G100" s="176"/>
      <c r="H100" s="50"/>
    </row>
    <row r="101" spans="1:10" ht="18.75" x14ac:dyDescent="0.3">
      <c r="C101" s="171" t="s">
        <v>81</v>
      </c>
      <c r="D101" s="172">
        <f>D100*$B$98</f>
        <v>15</v>
      </c>
      <c r="F101" s="117"/>
      <c r="H101" s="50"/>
    </row>
    <row r="102" spans="1:10" ht="19.5" customHeight="1" thickBot="1" x14ac:dyDescent="0.35">
      <c r="C102" s="177" t="s">
        <v>82</v>
      </c>
      <c r="D102" s="178">
        <f>D101/B34</f>
        <v>15</v>
      </c>
      <c r="F102" s="121"/>
      <c r="H102" s="50"/>
      <c r="J102" s="179"/>
    </row>
    <row r="103" spans="1:10" ht="18.75" x14ac:dyDescent="0.3">
      <c r="C103" s="180" t="s">
        <v>117</v>
      </c>
      <c r="D103" s="181">
        <f>AVERAGE(E91:E94,G91:G94)</f>
        <v>104016815.32623756</v>
      </c>
      <c r="F103" s="121"/>
      <c r="G103" s="176"/>
      <c r="H103" s="50"/>
      <c r="J103" s="182"/>
    </row>
    <row r="104" spans="1:10" ht="18.75" x14ac:dyDescent="0.3">
      <c r="C104" s="154" t="s">
        <v>84</v>
      </c>
      <c r="D104" s="183">
        <f>STDEV(E91:E94,G91:G94)/D103</f>
        <v>1.4883053467793134E-2</v>
      </c>
      <c r="F104" s="121"/>
      <c r="H104" s="50"/>
      <c r="J104" s="182"/>
    </row>
    <row r="105" spans="1:10" ht="19.5" customHeight="1" thickBot="1" x14ac:dyDescent="0.35">
      <c r="C105" s="156" t="s">
        <v>20</v>
      </c>
      <c r="D105" s="184">
        <f>COUNT(E91:E94,G91:G94)</f>
        <v>6</v>
      </c>
      <c r="F105" s="121"/>
      <c r="H105" s="50"/>
      <c r="J105" s="182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6" t="s">
        <v>118</v>
      </c>
      <c r="B107" s="77">
        <v>1000</v>
      </c>
      <c r="C107" s="159" t="s">
        <v>119</v>
      </c>
      <c r="D107" s="185" t="s">
        <v>63</v>
      </c>
      <c r="E107" s="186" t="s">
        <v>120</v>
      </c>
      <c r="F107" s="187" t="s">
        <v>121</v>
      </c>
    </row>
    <row r="108" spans="1:10" ht="26.25" customHeight="1" x14ac:dyDescent="0.4">
      <c r="A108" s="78" t="s">
        <v>122</v>
      </c>
      <c r="B108" s="79">
        <v>1</v>
      </c>
      <c r="C108" s="188">
        <v>1</v>
      </c>
      <c r="D108" s="189">
        <v>110013864</v>
      </c>
      <c r="E108" s="190">
        <f t="shared" ref="E108:E113" si="1">IF(ISBLANK(D108),"-",D108/$D$103*$D$100*$B$116)</f>
        <v>317.29638228671007</v>
      </c>
      <c r="F108" s="191">
        <f t="shared" ref="F108:F113" si="2">IF(ISBLANK(D108), "-", E108/$B$56)</f>
        <v>1.057654607622367</v>
      </c>
    </row>
    <row r="109" spans="1:10" ht="26.25" customHeight="1" x14ac:dyDescent="0.4">
      <c r="A109" s="78" t="s">
        <v>95</v>
      </c>
      <c r="B109" s="79">
        <v>1</v>
      </c>
      <c r="C109" s="188">
        <v>2</v>
      </c>
      <c r="D109" s="189">
        <v>110514138</v>
      </c>
      <c r="E109" s="192">
        <f t="shared" si="1"/>
        <v>318.7392470728438</v>
      </c>
      <c r="F109" s="193">
        <f t="shared" si="2"/>
        <v>1.0624641569094793</v>
      </c>
    </row>
    <row r="110" spans="1:10" ht="26.25" customHeight="1" x14ac:dyDescent="0.4">
      <c r="A110" s="78" t="s">
        <v>96</v>
      </c>
      <c r="B110" s="79">
        <v>1</v>
      </c>
      <c r="C110" s="188">
        <v>3</v>
      </c>
      <c r="D110" s="189">
        <v>110614295</v>
      </c>
      <c r="E110" s="192">
        <f t="shared" si="1"/>
        <v>319.02811479010427</v>
      </c>
      <c r="F110" s="193">
        <f t="shared" si="2"/>
        <v>1.0634270493003475</v>
      </c>
    </row>
    <row r="111" spans="1:10" ht="26.25" customHeight="1" x14ac:dyDescent="0.4">
      <c r="A111" s="78" t="s">
        <v>97</v>
      </c>
      <c r="B111" s="79">
        <v>1</v>
      </c>
      <c r="C111" s="188">
        <v>4</v>
      </c>
      <c r="D111" s="189">
        <v>110777263</v>
      </c>
      <c r="E111" s="192">
        <f t="shared" si="1"/>
        <v>319.49813879388358</v>
      </c>
      <c r="F111" s="193">
        <f t="shared" si="2"/>
        <v>1.0649937959796119</v>
      </c>
    </row>
    <row r="112" spans="1:10" ht="26.25" customHeight="1" x14ac:dyDescent="0.4">
      <c r="A112" s="78" t="s">
        <v>98</v>
      </c>
      <c r="B112" s="79">
        <v>1</v>
      </c>
      <c r="C112" s="188">
        <v>5</v>
      </c>
      <c r="D112" s="189">
        <v>110857791</v>
      </c>
      <c r="E112" s="192">
        <f t="shared" si="1"/>
        <v>319.73039354927312</v>
      </c>
      <c r="F112" s="193">
        <f t="shared" si="2"/>
        <v>1.0657679784975771</v>
      </c>
    </row>
    <row r="113" spans="1:10" ht="26.25" customHeight="1" x14ac:dyDescent="0.4">
      <c r="A113" s="78" t="s">
        <v>100</v>
      </c>
      <c r="B113" s="79">
        <v>1</v>
      </c>
      <c r="C113" s="194">
        <v>6</v>
      </c>
      <c r="D113" s="195">
        <v>110814208</v>
      </c>
      <c r="E113" s="196">
        <f t="shared" si="1"/>
        <v>319.60469368085285</v>
      </c>
      <c r="F113" s="197">
        <f t="shared" si="2"/>
        <v>1.0653489789361761</v>
      </c>
    </row>
    <row r="114" spans="1:10" ht="26.25" customHeight="1" x14ac:dyDescent="0.4">
      <c r="A114" s="78" t="s">
        <v>101</v>
      </c>
      <c r="B114" s="79">
        <v>1</v>
      </c>
      <c r="C114" s="188"/>
      <c r="D114" s="107"/>
      <c r="E114" s="52"/>
      <c r="F114" s="198"/>
    </row>
    <row r="115" spans="1:10" ht="26.25" customHeight="1" x14ac:dyDescent="0.4">
      <c r="A115" s="78" t="s">
        <v>102</v>
      </c>
      <c r="B115" s="79">
        <v>1</v>
      </c>
      <c r="C115" s="188"/>
      <c r="D115" s="199" t="s">
        <v>71</v>
      </c>
      <c r="E115" s="200">
        <f>AVERAGE(E108:E113)</f>
        <v>318.98282836227798</v>
      </c>
      <c r="F115" s="201">
        <f>AVERAGE(F108:F113)</f>
        <v>1.0632760945409265</v>
      </c>
    </row>
    <row r="116" spans="1:10" ht="27" customHeight="1" thickBot="1" x14ac:dyDescent="0.45">
      <c r="A116" s="78" t="s">
        <v>103</v>
      </c>
      <c r="B116" s="90">
        <f>(B115/B114)*(B113/B112)*(B111/B110)*(B109/B108)*B107</f>
        <v>1000</v>
      </c>
      <c r="C116" s="202"/>
      <c r="D116" s="63" t="s">
        <v>84</v>
      </c>
      <c r="E116" s="203">
        <f>STDEV(E108:E113)/E115</f>
        <v>2.844571979295751E-3</v>
      </c>
      <c r="F116" s="203">
        <f>STDEV(F108:F113)/F115</f>
        <v>2.8445719792957198E-3</v>
      </c>
      <c r="I116" s="52"/>
    </row>
    <row r="117" spans="1:10" ht="27" customHeight="1" thickBot="1" x14ac:dyDescent="0.45">
      <c r="A117" s="262" t="s">
        <v>78</v>
      </c>
      <c r="B117" s="266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52"/>
      <c r="J117" s="182"/>
    </row>
    <row r="118" spans="1:10" ht="19.5" customHeight="1" thickBot="1" x14ac:dyDescent="0.35">
      <c r="A118" s="264"/>
      <c r="B118" s="267"/>
      <c r="C118" s="52"/>
      <c r="D118" s="52"/>
      <c r="E118" s="52"/>
      <c r="F118" s="107"/>
      <c r="G118" s="52"/>
      <c r="H118" s="52"/>
      <c r="I118" s="52"/>
    </row>
    <row r="119" spans="1:10" ht="18.75" x14ac:dyDescent="0.3">
      <c r="A119" s="207"/>
      <c r="B119" s="74"/>
      <c r="C119" s="52"/>
      <c r="D119" s="52"/>
      <c r="E119" s="52"/>
      <c r="F119" s="107"/>
      <c r="G119" s="52"/>
      <c r="H119" s="52"/>
      <c r="I119" s="52"/>
    </row>
    <row r="120" spans="1:10" ht="26.25" customHeight="1" x14ac:dyDescent="0.4">
      <c r="A120" s="62" t="s">
        <v>106</v>
      </c>
      <c r="B120" s="63" t="s">
        <v>123</v>
      </c>
      <c r="C120" s="268" t="str">
        <f>B20</f>
        <v xml:space="preserve">Tenofovir Disoproxil Fumarate 300mg, Lamivudine 300mg &amp; Efavirenz 600mg </v>
      </c>
      <c r="D120" s="268"/>
      <c r="E120" s="52" t="s">
        <v>124</v>
      </c>
      <c r="F120" s="52"/>
      <c r="G120" s="158">
        <f>F115</f>
        <v>1.0632760945409265</v>
      </c>
      <c r="H120" s="52"/>
      <c r="I120" s="52"/>
    </row>
    <row r="121" spans="1:10" ht="19.5" customHeight="1" thickBot="1" x14ac:dyDescent="0.35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269" t="s">
        <v>26</v>
      </c>
      <c r="C122" s="269"/>
      <c r="E122" s="161" t="s">
        <v>27</v>
      </c>
      <c r="F122" s="210"/>
      <c r="G122" s="269" t="s">
        <v>28</v>
      </c>
      <c r="H122" s="269"/>
    </row>
    <row r="123" spans="1:10" ht="69.95" customHeight="1" x14ac:dyDescent="0.3">
      <c r="A123" s="62" t="s">
        <v>29</v>
      </c>
      <c r="B123" s="211"/>
      <c r="C123" s="211"/>
      <c r="E123" s="211"/>
      <c r="F123" s="52"/>
      <c r="G123" s="211"/>
      <c r="H123" s="211"/>
    </row>
    <row r="124" spans="1:10" ht="69.95" customHeight="1" x14ac:dyDescent="0.3">
      <c r="A124" s="62" t="s">
        <v>30</v>
      </c>
      <c r="B124" s="212"/>
      <c r="C124" s="212"/>
      <c r="E124" s="212"/>
      <c r="F124" s="52"/>
      <c r="G124" s="213"/>
      <c r="H124" s="213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52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52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52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52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52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52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52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52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52"/>
    </row>
    <row r="250" spans="1:1" x14ac:dyDescent="0.25">
      <c r="A250" s="48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" zoomScale="70" zoomScaleNormal="40" zoomScalePageLayoutView="70" workbookViewId="0">
      <selection activeCell="F93" sqref="F9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1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thickBot="1" x14ac:dyDescent="0.35">
      <c r="A15" s="52"/>
    </row>
    <row r="16" spans="1:9" ht="19.5" customHeight="1" thickBot="1" x14ac:dyDescent="0.35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53" t="s">
        <v>33</v>
      </c>
      <c r="B18" s="297" t="s">
        <v>125</v>
      </c>
      <c r="C18" s="297"/>
      <c r="D18" s="54"/>
      <c r="E18" s="55"/>
      <c r="F18" s="56"/>
      <c r="G18" s="56"/>
      <c r="H18" s="56"/>
    </row>
    <row r="19" spans="1:14" ht="26.25" customHeight="1" x14ac:dyDescent="0.4">
      <c r="A19" s="53" t="s">
        <v>34</v>
      </c>
      <c r="B19" s="57" t="s">
        <v>7</v>
      </c>
      <c r="C19" s="56">
        <v>29</v>
      </c>
      <c r="D19" s="56"/>
      <c r="E19" s="56"/>
      <c r="F19" s="56"/>
      <c r="G19" s="56"/>
      <c r="H19" s="56"/>
    </row>
    <row r="20" spans="1:14" ht="26.25" customHeight="1" x14ac:dyDescent="0.4">
      <c r="A20" s="53" t="s">
        <v>35</v>
      </c>
      <c r="B20" s="298" t="s">
        <v>126</v>
      </c>
      <c r="C20" s="298"/>
      <c r="D20" s="56"/>
      <c r="E20" s="56"/>
      <c r="F20" s="56"/>
      <c r="G20" s="56"/>
      <c r="H20" s="56"/>
    </row>
    <row r="21" spans="1:14" ht="26.25" customHeight="1" x14ac:dyDescent="0.4">
      <c r="A21" s="53" t="s">
        <v>36</v>
      </c>
      <c r="B21" s="298" t="s">
        <v>11</v>
      </c>
      <c r="C21" s="298"/>
      <c r="D21" s="298"/>
      <c r="E21" s="298"/>
      <c r="F21" s="298"/>
      <c r="G21" s="298"/>
      <c r="H21" s="298"/>
      <c r="I21" s="58"/>
    </row>
    <row r="22" spans="1:14" ht="26.25" customHeight="1" x14ac:dyDescent="0.4">
      <c r="A22" s="53" t="s">
        <v>37</v>
      </c>
      <c r="B22" s="59" t="s">
        <v>127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3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3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97" t="s">
        <v>132</v>
      </c>
      <c r="C26" s="297"/>
    </row>
    <row r="27" spans="1:14" ht="26.25" customHeight="1" x14ac:dyDescent="0.4">
      <c r="A27" s="63" t="s">
        <v>48</v>
      </c>
      <c r="B27" s="299" t="s">
        <v>133</v>
      </c>
      <c r="C27" s="299"/>
    </row>
    <row r="28" spans="1:14" ht="27" customHeight="1" thickBot="1" x14ac:dyDescent="0.45">
      <c r="A28" s="63" t="s">
        <v>6</v>
      </c>
      <c r="B28" s="64">
        <v>99.3</v>
      </c>
    </row>
    <row r="29" spans="1:14" s="49" customFormat="1" ht="27" customHeight="1" thickBot="1" x14ac:dyDescent="0.45">
      <c r="A29" s="63" t="s">
        <v>49</v>
      </c>
      <c r="B29" s="65">
        <v>0</v>
      </c>
      <c r="C29" s="280" t="s">
        <v>50</v>
      </c>
      <c r="D29" s="281"/>
      <c r="E29" s="281"/>
      <c r="F29" s="281"/>
      <c r="G29" s="282"/>
      <c r="I29" s="66"/>
      <c r="J29" s="66"/>
      <c r="K29" s="66"/>
      <c r="L29" s="66"/>
    </row>
    <row r="30" spans="1:14" s="49" customFormat="1" ht="19.5" customHeight="1" thickBot="1" x14ac:dyDescent="0.35">
      <c r="A30" s="63" t="s">
        <v>51</v>
      </c>
      <c r="B30" s="67">
        <f>B28-B29</f>
        <v>99.3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9" customFormat="1" ht="27" customHeight="1" thickBot="1" x14ac:dyDescent="0.45">
      <c r="A31" s="63" t="s">
        <v>52</v>
      </c>
      <c r="B31" s="70">
        <v>1</v>
      </c>
      <c r="C31" s="283" t="s">
        <v>53</v>
      </c>
      <c r="D31" s="284"/>
      <c r="E31" s="284"/>
      <c r="F31" s="284"/>
      <c r="G31" s="284"/>
      <c r="H31" s="285"/>
      <c r="I31" s="66"/>
      <c r="J31" s="66"/>
      <c r="K31" s="66"/>
      <c r="L31" s="66"/>
    </row>
    <row r="32" spans="1:14" s="49" customFormat="1" ht="27" customHeight="1" thickBot="1" x14ac:dyDescent="0.45">
      <c r="A32" s="63" t="s">
        <v>54</v>
      </c>
      <c r="B32" s="70">
        <v>1</v>
      </c>
      <c r="C32" s="283" t="s">
        <v>55</v>
      </c>
      <c r="D32" s="284"/>
      <c r="E32" s="284"/>
      <c r="F32" s="284"/>
      <c r="G32" s="284"/>
      <c r="H32" s="285"/>
      <c r="I32" s="66"/>
      <c r="J32" s="66"/>
      <c r="K32" s="66"/>
      <c r="L32" s="71"/>
      <c r="M32" s="71"/>
      <c r="N32" s="72"/>
    </row>
    <row r="33" spans="1:14" s="49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9" customFormat="1" ht="18.75" x14ac:dyDescent="0.3">
      <c r="A34" s="63" t="s">
        <v>56</v>
      </c>
      <c r="B34" s="75">
        <f>B31/B32</f>
        <v>1</v>
      </c>
      <c r="C34" s="52" t="s">
        <v>57</v>
      </c>
      <c r="D34" s="52"/>
      <c r="E34" s="52"/>
      <c r="F34" s="52"/>
      <c r="G34" s="52"/>
      <c r="I34" s="66"/>
      <c r="J34" s="66"/>
      <c r="K34" s="66"/>
      <c r="L34" s="71"/>
      <c r="M34" s="71"/>
      <c r="N34" s="72"/>
    </row>
    <row r="35" spans="1:14" s="49" customFormat="1" ht="19.5" customHeight="1" thickBot="1" x14ac:dyDescent="0.35">
      <c r="A35" s="63"/>
      <c r="B35" s="67"/>
      <c r="G35" s="52"/>
      <c r="I35" s="66"/>
      <c r="J35" s="66"/>
      <c r="K35" s="66"/>
      <c r="L35" s="71"/>
      <c r="M35" s="71"/>
      <c r="N35" s="72"/>
    </row>
    <row r="36" spans="1:14" s="49" customFormat="1" ht="27" customHeight="1" thickBot="1" x14ac:dyDescent="0.45">
      <c r="A36" s="76" t="s">
        <v>58</v>
      </c>
      <c r="B36" s="77">
        <v>25</v>
      </c>
      <c r="C36" s="52"/>
      <c r="D36" s="270" t="s">
        <v>59</v>
      </c>
      <c r="E36" s="290"/>
      <c r="F36" s="270" t="s">
        <v>60</v>
      </c>
      <c r="G36" s="271"/>
      <c r="J36" s="66"/>
      <c r="K36" s="66"/>
      <c r="L36" s="71"/>
      <c r="M36" s="71"/>
      <c r="N36" s="72"/>
    </row>
    <row r="37" spans="1:14" s="49" customFormat="1" ht="27" customHeight="1" thickBot="1" x14ac:dyDescent="0.45">
      <c r="A37" s="78" t="s">
        <v>61</v>
      </c>
      <c r="B37" s="79">
        <v>5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49" customFormat="1" ht="26.25" customHeight="1" x14ac:dyDescent="0.4">
      <c r="A38" s="78" t="s">
        <v>66</v>
      </c>
      <c r="B38" s="79">
        <v>50</v>
      </c>
      <c r="C38" s="85">
        <v>1</v>
      </c>
      <c r="D38" s="86">
        <v>47755071</v>
      </c>
      <c r="E38" s="87">
        <f>IF(ISBLANK(D38),"-",$D$48/$D$45*D38)</f>
        <v>50392993.004823498</v>
      </c>
      <c r="F38" s="86">
        <v>47751321</v>
      </c>
      <c r="G38" s="88">
        <f>IF(ISBLANK(F38),"-",$D$48/$F$45*F38)</f>
        <v>50301188.86599502</v>
      </c>
      <c r="I38" s="89"/>
      <c r="J38" s="66"/>
      <c r="K38" s="66"/>
      <c r="L38" s="71"/>
      <c r="M38" s="71"/>
      <c r="N38" s="72"/>
    </row>
    <row r="39" spans="1:14" s="49" customFormat="1" ht="26.25" customHeight="1" x14ac:dyDescent="0.4">
      <c r="A39" s="78" t="s">
        <v>67</v>
      </c>
      <c r="B39" s="79">
        <v>1</v>
      </c>
      <c r="C39" s="90">
        <v>2</v>
      </c>
      <c r="D39" s="91">
        <v>47813515</v>
      </c>
      <c r="E39" s="92">
        <f>IF(ISBLANK(D39),"-",$D$48/$D$45*D39)</f>
        <v>50454665.36801973</v>
      </c>
      <c r="F39" s="91">
        <v>47873838</v>
      </c>
      <c r="G39" s="93">
        <f>IF(ISBLANK(F39),"-",$D$48/$F$45*F39)</f>
        <v>50430248.138644144</v>
      </c>
      <c r="I39" s="261">
        <f>ABS((F43/D43*D42)-F42)/D42</f>
        <v>1.4255557621448245E-4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91">
        <v>47793788</v>
      </c>
      <c r="E40" s="92">
        <f>IF(ISBLANK(D40),"-",$D$48/$D$45*D40)</f>
        <v>50433848.676678069</v>
      </c>
      <c r="F40" s="91">
        <v>48008023</v>
      </c>
      <c r="G40" s="93">
        <f>IF(ISBLANK(F40),"-",$D$48/$F$45*F40)</f>
        <v>50571598.469622083</v>
      </c>
      <c r="I40" s="261"/>
      <c r="L40" s="71"/>
      <c r="M40" s="71"/>
      <c r="N40" s="52"/>
    </row>
    <row r="41" spans="1:14" ht="27" customHeight="1" thickBot="1" x14ac:dyDescent="0.45">
      <c r="A41" s="78" t="s">
        <v>69</v>
      </c>
      <c r="B41" s="79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1"/>
      <c r="M41" s="71"/>
      <c r="N41" s="52"/>
    </row>
    <row r="42" spans="1:14" ht="27" customHeight="1" thickBot="1" x14ac:dyDescent="0.45">
      <c r="A42" s="78" t="s">
        <v>70</v>
      </c>
      <c r="B42" s="79">
        <v>1</v>
      </c>
      <c r="C42" s="99" t="s">
        <v>71</v>
      </c>
      <c r="D42" s="100">
        <f>AVERAGE(D38:D41)</f>
        <v>47787458</v>
      </c>
      <c r="E42" s="101">
        <f>AVERAGE(E38:E41)</f>
        <v>50427169.016507097</v>
      </c>
      <c r="F42" s="100">
        <f>AVERAGE(F38:F41)</f>
        <v>47877727.333333336</v>
      </c>
      <c r="G42" s="102">
        <f>AVERAGE(G38:G41)</f>
        <v>50434345.158087082</v>
      </c>
      <c r="H42" s="50"/>
    </row>
    <row r="43" spans="1:14" ht="26.25" customHeight="1" x14ac:dyDescent="0.4">
      <c r="A43" s="78" t="s">
        <v>72</v>
      </c>
      <c r="B43" s="79">
        <v>1</v>
      </c>
      <c r="C43" s="103" t="s">
        <v>73</v>
      </c>
      <c r="D43" s="104">
        <v>28.63</v>
      </c>
      <c r="E43" s="52"/>
      <c r="F43" s="104">
        <v>28.68</v>
      </c>
      <c r="H43" s="50"/>
    </row>
    <row r="44" spans="1:14" ht="26.25" customHeight="1" x14ac:dyDescent="0.4">
      <c r="A44" s="78" t="s">
        <v>74</v>
      </c>
      <c r="B44" s="79">
        <v>1</v>
      </c>
      <c r="C44" s="105" t="s">
        <v>75</v>
      </c>
      <c r="D44" s="106">
        <f>D43*$B$34</f>
        <v>28.63</v>
      </c>
      <c r="E44" s="107"/>
      <c r="F44" s="106">
        <f>F43*$B$34</f>
        <v>28.68</v>
      </c>
      <c r="H44" s="50"/>
    </row>
    <row r="45" spans="1:14" ht="19.5" customHeight="1" thickBot="1" x14ac:dyDescent="0.35">
      <c r="A45" s="78" t="s">
        <v>76</v>
      </c>
      <c r="B45" s="90">
        <f>(B44/B43)*(B42/B41)*(B40/B39)*(B38/B37)*B36</f>
        <v>250</v>
      </c>
      <c r="C45" s="105" t="s">
        <v>77</v>
      </c>
      <c r="D45" s="108">
        <f>D44*$B$30/100</f>
        <v>28.429589999999997</v>
      </c>
      <c r="E45" s="109"/>
      <c r="F45" s="108">
        <f>F44*$B$30/100</f>
        <v>28.479240000000001</v>
      </c>
      <c r="H45" s="50"/>
    </row>
    <row r="46" spans="1:14" ht="19.5" customHeight="1" thickBot="1" x14ac:dyDescent="0.35">
      <c r="A46" s="262" t="s">
        <v>78</v>
      </c>
      <c r="B46" s="266"/>
      <c r="C46" s="105" t="s">
        <v>79</v>
      </c>
      <c r="D46" s="110">
        <f>D45/$B$45</f>
        <v>0.11371835999999999</v>
      </c>
      <c r="E46" s="111"/>
      <c r="F46" s="112">
        <f>F45/$B$45</f>
        <v>0.11391696</v>
      </c>
      <c r="H46" s="50"/>
    </row>
    <row r="47" spans="1:14" ht="27" customHeight="1" thickBot="1" x14ac:dyDescent="0.45">
      <c r="A47" s="264"/>
      <c r="B47" s="267"/>
      <c r="C47" s="113" t="s">
        <v>80</v>
      </c>
      <c r="D47" s="114">
        <v>0.12</v>
      </c>
      <c r="E47" s="115"/>
      <c r="F47" s="111"/>
      <c r="H47" s="50"/>
    </row>
    <row r="48" spans="1:14" ht="18.75" x14ac:dyDescent="0.3">
      <c r="C48" s="116" t="s">
        <v>81</v>
      </c>
      <c r="D48" s="108">
        <f>D47*$B$45</f>
        <v>30</v>
      </c>
      <c r="F48" s="117"/>
      <c r="H48" s="50"/>
    </row>
    <row r="49" spans="1:12" ht="19.5" customHeight="1" thickBot="1" x14ac:dyDescent="0.35">
      <c r="C49" s="118" t="s">
        <v>82</v>
      </c>
      <c r="D49" s="119">
        <f>D48/B34</f>
        <v>30</v>
      </c>
      <c r="F49" s="117"/>
      <c r="H49" s="50"/>
    </row>
    <row r="50" spans="1:12" ht="18.75" x14ac:dyDescent="0.3">
      <c r="C50" s="76" t="s">
        <v>83</v>
      </c>
      <c r="D50" s="120">
        <f>AVERAGE(E38:E41,G38:G41)</f>
        <v>50430757.087297089</v>
      </c>
      <c r="F50" s="121"/>
      <c r="H50" s="50"/>
    </row>
    <row r="51" spans="1:12" ht="18.75" x14ac:dyDescent="0.3">
      <c r="C51" s="78" t="s">
        <v>84</v>
      </c>
      <c r="D51" s="122">
        <f>STDEV(E38:E41,G38:G41)/D50</f>
        <v>1.7429775781666248E-3</v>
      </c>
      <c r="F51" s="121"/>
      <c r="H51" s="50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2" t="s">
        <v>86</v>
      </c>
      <c r="B55" s="127" t="str">
        <f>B21</f>
        <v>Tenofovir Disoproxil Fumarate 300mg, Lamivudine 300mg, Efavirenz 600mg</v>
      </c>
    </row>
    <row r="56" spans="1:12" ht="26.25" customHeight="1" x14ac:dyDescent="0.4">
      <c r="A56" s="127" t="s">
        <v>87</v>
      </c>
      <c r="B56" s="128">
        <v>600</v>
      </c>
      <c r="C56" s="52" t="str">
        <f>B20</f>
        <v xml:space="preserve">Tenofovir Disoproxil Fumarate 300mg, Lamivudine 300mg &amp; Efavirenz 600mg </v>
      </c>
      <c r="H56" s="107"/>
    </row>
    <row r="57" spans="1:12" ht="18.75" x14ac:dyDescent="0.3">
      <c r="A57" s="127" t="s">
        <v>88</v>
      </c>
      <c r="B57" s="129">
        <f>Uniformity!C46</f>
        <v>1897.2600000000002</v>
      </c>
      <c r="H57" s="107"/>
    </row>
    <row r="58" spans="1:12" ht="19.5" customHeight="1" thickBot="1" x14ac:dyDescent="0.35">
      <c r="H58" s="107"/>
    </row>
    <row r="59" spans="1:12" s="49" customFormat="1" ht="27" customHeight="1" thickBot="1" x14ac:dyDescent="0.45">
      <c r="A59" s="76" t="s">
        <v>89</v>
      </c>
      <c r="B59" s="77">
        <v>200</v>
      </c>
      <c r="C59" s="52"/>
      <c r="D59" s="130" t="s">
        <v>90</v>
      </c>
      <c r="E59" s="131" t="s">
        <v>62</v>
      </c>
      <c r="F59" s="131" t="s">
        <v>63</v>
      </c>
      <c r="G59" s="131" t="s">
        <v>91</v>
      </c>
      <c r="H59" s="80" t="s">
        <v>92</v>
      </c>
      <c r="L59" s="66"/>
    </row>
    <row r="60" spans="1:12" s="49" customFormat="1" ht="26.25" customHeight="1" x14ac:dyDescent="0.4">
      <c r="A60" s="78" t="s">
        <v>93</v>
      </c>
      <c r="B60" s="79">
        <v>4</v>
      </c>
      <c r="C60" s="272" t="s">
        <v>94</v>
      </c>
      <c r="D60" s="275">
        <v>1894.27</v>
      </c>
      <c r="E60" s="132">
        <v>1</v>
      </c>
      <c r="F60" s="133">
        <v>49344855</v>
      </c>
      <c r="G60" s="134">
        <f>IF(ISBLANK(F60),"-",(F60/$D$50*$D$47*$B$68)*($B$57/$D$60))</f>
        <v>588.007152394532</v>
      </c>
      <c r="H60" s="135">
        <f t="shared" ref="H60:H71" si="0">IF(ISBLANK(F60),"-",G60/$B$56)</f>
        <v>0.98001192065755338</v>
      </c>
      <c r="L60" s="66"/>
    </row>
    <row r="61" spans="1:12" s="49" customFormat="1" ht="26.25" customHeight="1" x14ac:dyDescent="0.4">
      <c r="A61" s="78" t="s">
        <v>95</v>
      </c>
      <c r="B61" s="79">
        <v>100</v>
      </c>
      <c r="C61" s="273"/>
      <c r="D61" s="276"/>
      <c r="E61" s="136">
        <v>2</v>
      </c>
      <c r="F61" s="91">
        <v>49191758</v>
      </c>
      <c r="G61" s="137">
        <f>IF(ISBLANK(F61),"-",(F61/$D$50*$D$47*$B$68)*($B$57/$D$60))</f>
        <v>586.18280553992781</v>
      </c>
      <c r="H61" s="138">
        <f t="shared" si="0"/>
        <v>0.97697134256654639</v>
      </c>
      <c r="L61" s="66"/>
    </row>
    <row r="62" spans="1:12" s="49" customFormat="1" ht="26.25" customHeight="1" x14ac:dyDescent="0.4">
      <c r="A62" s="78" t="s">
        <v>96</v>
      </c>
      <c r="B62" s="79">
        <v>1</v>
      </c>
      <c r="C62" s="273"/>
      <c r="D62" s="276"/>
      <c r="E62" s="136">
        <v>3</v>
      </c>
      <c r="F62" s="139">
        <v>49366164</v>
      </c>
      <c r="G62" s="137">
        <f>IF(ISBLANK(F62),"-",(F62/$D$50*$D$47*$B$68)*($B$57/$D$60))</f>
        <v>588.26107642390389</v>
      </c>
      <c r="H62" s="138">
        <f t="shared" si="0"/>
        <v>0.98043512737317318</v>
      </c>
      <c r="L62" s="66"/>
    </row>
    <row r="63" spans="1:12" ht="27" customHeight="1" thickBot="1" x14ac:dyDescent="0.45">
      <c r="A63" s="78" t="s">
        <v>97</v>
      </c>
      <c r="B63" s="79">
        <v>1</v>
      </c>
      <c r="C63" s="274"/>
      <c r="D63" s="277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272" t="s">
        <v>99</v>
      </c>
      <c r="D64" s="275">
        <v>1895.53</v>
      </c>
      <c r="E64" s="132">
        <v>1</v>
      </c>
      <c r="F64" s="133">
        <v>49357990</v>
      </c>
      <c r="G64" s="142">
        <f>IF(ISBLANK(F64),"-",(F64/$D$50*$D$47*$B$68)*($B$57/$D$64))</f>
        <v>587.77270756394614</v>
      </c>
      <c r="H64" s="143">
        <f t="shared" si="0"/>
        <v>0.97962117927324355</v>
      </c>
    </row>
    <row r="65" spans="1:8" ht="26.25" customHeight="1" x14ac:dyDescent="0.4">
      <c r="A65" s="78" t="s">
        <v>100</v>
      </c>
      <c r="B65" s="79">
        <v>1</v>
      </c>
      <c r="C65" s="273"/>
      <c r="D65" s="276"/>
      <c r="E65" s="136">
        <v>2</v>
      </c>
      <c r="F65" s="91">
        <v>49511958</v>
      </c>
      <c r="G65" s="144">
        <f>IF(ISBLANK(F65),"-",(F65/$D$50*$D$47*$B$68)*($B$57/$D$64))</f>
        <v>589.60621391698464</v>
      </c>
      <c r="H65" s="145">
        <f t="shared" si="0"/>
        <v>0.98267702319497441</v>
      </c>
    </row>
    <row r="66" spans="1:8" ht="26.25" customHeight="1" x14ac:dyDescent="0.4">
      <c r="A66" s="78" t="s">
        <v>101</v>
      </c>
      <c r="B66" s="79">
        <v>1</v>
      </c>
      <c r="C66" s="273"/>
      <c r="D66" s="276"/>
      <c r="E66" s="136">
        <v>3</v>
      </c>
      <c r="F66" s="91">
        <v>49599634</v>
      </c>
      <c r="G66" s="144">
        <f>IF(ISBLANK(F66),"-",(F66/$D$50*$D$47*$B$68)*($B$57/$D$64))</f>
        <v>590.6502912772736</v>
      </c>
      <c r="H66" s="145">
        <f t="shared" si="0"/>
        <v>0.98441715212878933</v>
      </c>
    </row>
    <row r="67" spans="1:8" ht="27" customHeight="1" thickBot="1" x14ac:dyDescent="0.45">
      <c r="A67" s="78" t="s">
        <v>102</v>
      </c>
      <c r="B67" s="79">
        <v>1</v>
      </c>
      <c r="C67" s="274"/>
      <c r="D67" s="277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8" t="s">
        <v>103</v>
      </c>
      <c r="B68" s="148">
        <f>(B67/B66)*(B65/B64)*(B63/B62)*(B61/B60)*B59</f>
        <v>5000</v>
      </c>
      <c r="C68" s="272" t="s">
        <v>104</v>
      </c>
      <c r="D68" s="275">
        <v>1897.44</v>
      </c>
      <c r="E68" s="132">
        <v>1</v>
      </c>
      <c r="F68" s="133">
        <v>49799722</v>
      </c>
      <c r="G68" s="142">
        <f>IF(ISBLANK(F68),"-",(F68/$D$50*$D$47*$B$68)*($B$57/$D$68))</f>
        <v>592.43605262701271</v>
      </c>
      <c r="H68" s="138">
        <f t="shared" si="0"/>
        <v>0.98739342104502115</v>
      </c>
    </row>
    <row r="69" spans="1:8" ht="27" customHeight="1" thickBot="1" x14ac:dyDescent="0.45">
      <c r="A69" s="123" t="s">
        <v>105</v>
      </c>
      <c r="B69" s="149">
        <f>(D47*B68)/B56*B57</f>
        <v>1897.2600000000002</v>
      </c>
      <c r="C69" s="273"/>
      <c r="D69" s="276"/>
      <c r="E69" s="136">
        <v>2</v>
      </c>
      <c r="F69" s="91">
        <v>49663793</v>
      </c>
      <c r="G69" s="144">
        <f>IF(ISBLANK(F69),"-",(F69/$D$50*$D$47*$B$68)*($B$57/$D$68))</f>
        <v>590.81899058402519</v>
      </c>
      <c r="H69" s="138">
        <f t="shared" si="0"/>
        <v>0.98469831764004201</v>
      </c>
    </row>
    <row r="70" spans="1:8" ht="26.25" customHeight="1" x14ac:dyDescent="0.4">
      <c r="A70" s="286" t="s">
        <v>78</v>
      </c>
      <c r="B70" s="287"/>
      <c r="C70" s="273"/>
      <c r="D70" s="276"/>
      <c r="E70" s="136">
        <v>3</v>
      </c>
      <c r="F70" s="91">
        <v>49805822</v>
      </c>
      <c r="G70" s="144">
        <f>IF(ISBLANK(F70),"-",(F70/$D$50*$D$47*$B$68)*($B$57/$D$68))</f>
        <v>592.50862050040416</v>
      </c>
      <c r="H70" s="138">
        <f t="shared" si="0"/>
        <v>0.98751436750067356</v>
      </c>
    </row>
    <row r="71" spans="1:8" ht="27" customHeight="1" thickBot="1" x14ac:dyDescent="0.45">
      <c r="A71" s="288"/>
      <c r="B71" s="289"/>
      <c r="C71" s="278"/>
      <c r="D71" s="277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71</v>
      </c>
      <c r="G72" s="152">
        <f>AVERAGE(G60:G71)</f>
        <v>589.58265675866778</v>
      </c>
      <c r="H72" s="153">
        <f>AVERAGE(H60:H71)</f>
        <v>0.98263776126444624</v>
      </c>
    </row>
    <row r="73" spans="1:8" ht="26.25" customHeight="1" x14ac:dyDescent="0.4">
      <c r="C73" s="107"/>
      <c r="D73" s="107"/>
      <c r="E73" s="107"/>
      <c r="F73" s="154" t="s">
        <v>84</v>
      </c>
      <c r="G73" s="155">
        <f>STDEV(G60:G71)/G72</f>
        <v>3.7177309392337891E-3</v>
      </c>
      <c r="H73" s="155">
        <f>STDEV(H60:H71)/H72</f>
        <v>3.7177309392337661E-3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2" t="s">
        <v>106</v>
      </c>
      <c r="B76" s="63" t="s">
        <v>107</v>
      </c>
      <c r="C76" s="268" t="str">
        <f>B20</f>
        <v xml:space="preserve">Tenofovir Disoproxil Fumarate 300mg, Lamivudine 300mg &amp; Efavirenz 600mg </v>
      </c>
      <c r="D76" s="268"/>
      <c r="E76" s="52" t="s">
        <v>108</v>
      </c>
      <c r="F76" s="52"/>
      <c r="G76" s="158">
        <f>H72</f>
        <v>0.98263776126444624</v>
      </c>
      <c r="H76" s="67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79" t="str">
        <f>B26</f>
        <v>Effavirenz</v>
      </c>
      <c r="C79" s="279"/>
    </row>
    <row r="80" spans="1:8" ht="26.25" customHeight="1" x14ac:dyDescent="0.4">
      <c r="A80" s="63" t="s">
        <v>48</v>
      </c>
      <c r="B80" s="279" t="str">
        <f>B27</f>
        <v>E15-8</v>
      </c>
      <c r="C80" s="279"/>
    </row>
    <row r="81" spans="1:12" ht="27" customHeight="1" thickBot="1" x14ac:dyDescent="0.45">
      <c r="A81" s="63" t="s">
        <v>6</v>
      </c>
      <c r="B81" s="64">
        <f>B28</f>
        <v>99.3</v>
      </c>
    </row>
    <row r="82" spans="1:12" s="49" customFormat="1" ht="27" customHeight="1" thickBot="1" x14ac:dyDescent="0.45">
      <c r="A82" s="63" t="s">
        <v>49</v>
      </c>
      <c r="B82" s="65">
        <v>0</v>
      </c>
      <c r="C82" s="280" t="s">
        <v>50</v>
      </c>
      <c r="D82" s="281"/>
      <c r="E82" s="281"/>
      <c r="F82" s="281"/>
      <c r="G82" s="282"/>
      <c r="I82" s="66"/>
      <c r="J82" s="66"/>
      <c r="K82" s="66"/>
      <c r="L82" s="66"/>
    </row>
    <row r="83" spans="1:12" s="49" customFormat="1" ht="19.5" customHeight="1" thickBot="1" x14ac:dyDescent="0.35">
      <c r="A83" s="63" t="s">
        <v>51</v>
      </c>
      <c r="B83" s="67">
        <f>B81-B82</f>
        <v>99.3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9" customFormat="1" ht="27" customHeight="1" thickBot="1" x14ac:dyDescent="0.45">
      <c r="A84" s="63" t="s">
        <v>52</v>
      </c>
      <c r="B84" s="70">
        <v>154.46</v>
      </c>
      <c r="C84" s="283" t="s">
        <v>111</v>
      </c>
      <c r="D84" s="284"/>
      <c r="E84" s="284"/>
      <c r="F84" s="284"/>
      <c r="G84" s="284"/>
      <c r="H84" s="285"/>
      <c r="I84" s="66"/>
      <c r="J84" s="66"/>
      <c r="K84" s="66"/>
      <c r="L84" s="66"/>
    </row>
    <row r="85" spans="1:12" s="49" customFormat="1" ht="27" customHeight="1" thickBot="1" x14ac:dyDescent="0.45">
      <c r="A85" s="63" t="s">
        <v>54</v>
      </c>
      <c r="B85" s="70">
        <v>165.23</v>
      </c>
      <c r="C85" s="283" t="s">
        <v>112</v>
      </c>
      <c r="D85" s="284"/>
      <c r="E85" s="284"/>
      <c r="F85" s="284"/>
      <c r="G85" s="284"/>
      <c r="H85" s="285"/>
      <c r="I85" s="66"/>
      <c r="J85" s="66"/>
      <c r="K85" s="66"/>
      <c r="L85" s="66"/>
    </row>
    <row r="86" spans="1:12" s="49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9" customFormat="1" ht="18.75" x14ac:dyDescent="0.3">
      <c r="A87" s="63" t="s">
        <v>56</v>
      </c>
      <c r="B87" s="75">
        <f>B84/B85</f>
        <v>0.93481813230042976</v>
      </c>
      <c r="C87" s="52" t="s">
        <v>57</v>
      </c>
      <c r="D87" s="52"/>
      <c r="E87" s="52"/>
      <c r="F87" s="52"/>
      <c r="G87" s="52"/>
      <c r="I87" s="66"/>
      <c r="J87" s="66"/>
      <c r="K87" s="66"/>
      <c r="L87" s="66"/>
    </row>
    <row r="88" spans="1:12" ht="19.5" customHeight="1" thickBot="1" x14ac:dyDescent="0.35">
      <c r="A88" s="61"/>
      <c r="B88" s="61"/>
    </row>
    <row r="89" spans="1:12" ht="27" customHeight="1" thickBot="1" x14ac:dyDescent="0.45">
      <c r="A89" s="76" t="s">
        <v>58</v>
      </c>
      <c r="B89" s="77">
        <v>25</v>
      </c>
      <c r="D89" s="159" t="s">
        <v>59</v>
      </c>
      <c r="E89" s="160"/>
      <c r="F89" s="270" t="s">
        <v>60</v>
      </c>
      <c r="G89" s="271"/>
    </row>
    <row r="90" spans="1:12" ht="27" customHeight="1" thickBot="1" x14ac:dyDescent="0.45">
      <c r="A90" s="78" t="s">
        <v>61</v>
      </c>
      <c r="B90" s="79">
        <v>10</v>
      </c>
      <c r="C90" s="161" t="s">
        <v>62</v>
      </c>
      <c r="D90" s="81" t="s">
        <v>63</v>
      </c>
      <c r="E90" s="82" t="s">
        <v>64</v>
      </c>
      <c r="F90" s="81" t="s">
        <v>63</v>
      </c>
      <c r="G90" s="162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20</v>
      </c>
      <c r="C91" s="163">
        <v>1</v>
      </c>
      <c r="D91" s="86">
        <v>212398928</v>
      </c>
      <c r="E91" s="87">
        <f>IF(ISBLANK(D91),"-",$D$101/$D$98*D91)</f>
        <v>248887415.10191488</v>
      </c>
      <c r="F91" s="86">
        <v>232132531</v>
      </c>
      <c r="G91" s="88">
        <f>IF(ISBLANK(F91),"-",$D$101/$F$98*F91)</f>
        <v>247266515.509177</v>
      </c>
      <c r="I91" s="89"/>
    </row>
    <row r="92" spans="1:12" ht="26.25" customHeight="1" x14ac:dyDescent="0.4">
      <c r="A92" s="78" t="s">
        <v>67</v>
      </c>
      <c r="B92" s="79">
        <v>1</v>
      </c>
      <c r="C92" s="107">
        <v>2</v>
      </c>
      <c r="D92" s="91">
        <v>211845456</v>
      </c>
      <c r="E92" s="92">
        <f>IF(ISBLANK(D92),"-",$D$101/$D$98*D92)</f>
        <v>248238860.90859386</v>
      </c>
      <c r="F92" s="91">
        <v>232172977</v>
      </c>
      <c r="G92" s="93">
        <f>IF(ISBLANK(F92),"-",$D$101/$F$98*F92)</f>
        <v>247309598.40429386</v>
      </c>
      <c r="I92" s="261">
        <f>ABS((F96/D96*D95)-F95)/D95</f>
        <v>7.7583308160397626E-3</v>
      </c>
    </row>
    <row r="93" spans="1:12" ht="26.25" customHeight="1" x14ac:dyDescent="0.4">
      <c r="A93" s="78" t="s">
        <v>68</v>
      </c>
      <c r="B93" s="79">
        <v>1</v>
      </c>
      <c r="C93" s="107">
        <v>3</v>
      </c>
      <c r="D93" s="91">
        <v>212751747</v>
      </c>
      <c r="E93" s="92">
        <f>IF(ISBLANK(D93),"-",$D$101/$D$98*D93)</f>
        <v>249300845.6673876</v>
      </c>
      <c r="F93" s="91">
        <v>231494402</v>
      </c>
      <c r="G93" s="93">
        <f>IF(ISBLANK(F93),"-",$D$101/$F$98*F93)</f>
        <v>246586783.40271342</v>
      </c>
      <c r="I93" s="261"/>
    </row>
    <row r="94" spans="1:12" ht="27" customHeight="1" thickBot="1" x14ac:dyDescent="0.45">
      <c r="A94" s="78" t="s">
        <v>69</v>
      </c>
      <c r="B94" s="79">
        <v>1</v>
      </c>
      <c r="C94" s="164">
        <v>4</v>
      </c>
      <c r="D94" s="95"/>
      <c r="E94" s="96" t="str">
        <f>IF(ISBLANK(D94),"-",$D$101/$D$98*D94)</f>
        <v>-</v>
      </c>
      <c r="F94" s="165"/>
      <c r="G94" s="97" t="str">
        <f>IF(ISBLANK(F94),"-",$D$101/$F$98*F94)</f>
        <v>-</v>
      </c>
      <c r="I94" s="98"/>
    </row>
    <row r="95" spans="1:12" ht="27" customHeight="1" thickBot="1" x14ac:dyDescent="0.45">
      <c r="A95" s="78" t="s">
        <v>70</v>
      </c>
      <c r="B95" s="79">
        <v>1</v>
      </c>
      <c r="C95" s="63" t="s">
        <v>71</v>
      </c>
      <c r="D95" s="166">
        <f>AVERAGE(D91:D94)</f>
        <v>212332043.66666666</v>
      </c>
      <c r="E95" s="101">
        <f>AVERAGE(E91:E94)</f>
        <v>248809040.55929878</v>
      </c>
      <c r="F95" s="167">
        <f>AVERAGE(F91:F94)</f>
        <v>231933303.33333334</v>
      </c>
      <c r="G95" s="168">
        <f>AVERAGE(G91:G94)</f>
        <v>247054299.10539475</v>
      </c>
    </row>
    <row r="96" spans="1:12" ht="26.25" customHeight="1" x14ac:dyDescent="0.4">
      <c r="A96" s="78" t="s">
        <v>72</v>
      </c>
      <c r="B96" s="64">
        <v>1</v>
      </c>
      <c r="C96" s="169" t="s">
        <v>113</v>
      </c>
      <c r="D96" s="170">
        <v>27.58</v>
      </c>
      <c r="E96" s="52"/>
      <c r="F96" s="104">
        <v>30.34</v>
      </c>
    </row>
    <row r="97" spans="1:10" ht="26.25" customHeight="1" x14ac:dyDescent="0.4">
      <c r="A97" s="78" t="s">
        <v>74</v>
      </c>
      <c r="B97" s="64">
        <v>1</v>
      </c>
      <c r="C97" s="171" t="s">
        <v>114</v>
      </c>
      <c r="D97" s="172">
        <f>D96*$B$87</f>
        <v>25.782284088845852</v>
      </c>
      <c r="E97" s="107"/>
      <c r="F97" s="106">
        <f>F96*$B$87</f>
        <v>28.362382133995037</v>
      </c>
    </row>
    <row r="98" spans="1:10" ht="19.5" customHeight="1" thickBot="1" x14ac:dyDescent="0.35">
      <c r="A98" s="78" t="s">
        <v>76</v>
      </c>
      <c r="B98" s="107">
        <f>(B97/B96)*(B95/B94)*(B93/B92)*(B91/B90)*B89</f>
        <v>50</v>
      </c>
      <c r="C98" s="171" t="s">
        <v>115</v>
      </c>
      <c r="D98" s="173">
        <f>D97*$B$83/100</f>
        <v>25.601808100223931</v>
      </c>
      <c r="E98" s="109"/>
      <c r="F98" s="108">
        <f>F97*$B$83/100</f>
        <v>28.163845459057072</v>
      </c>
    </row>
    <row r="99" spans="1:10" ht="19.5" customHeight="1" thickBot="1" x14ac:dyDescent="0.35">
      <c r="A99" s="262" t="s">
        <v>78</v>
      </c>
      <c r="B99" s="263"/>
      <c r="C99" s="171" t="s">
        <v>116</v>
      </c>
      <c r="D99" s="174">
        <f>D98/$B$98</f>
        <v>0.51203616200447866</v>
      </c>
      <c r="E99" s="109"/>
      <c r="F99" s="112">
        <f>F98/$B$98</f>
        <v>0.56327690918114148</v>
      </c>
      <c r="H99" s="50"/>
    </row>
    <row r="100" spans="1:10" ht="19.5" customHeight="1" thickBot="1" x14ac:dyDescent="0.35">
      <c r="A100" s="264"/>
      <c r="B100" s="265"/>
      <c r="C100" s="171" t="s">
        <v>80</v>
      </c>
      <c r="D100" s="175">
        <f>$B$56/$B$116</f>
        <v>0.6</v>
      </c>
      <c r="F100" s="117"/>
      <c r="G100" s="176"/>
      <c r="H100" s="50"/>
    </row>
    <row r="101" spans="1:10" ht="18.75" x14ac:dyDescent="0.3">
      <c r="C101" s="171" t="s">
        <v>81</v>
      </c>
      <c r="D101" s="172">
        <f>D100*$B$98</f>
        <v>30</v>
      </c>
      <c r="F101" s="117"/>
      <c r="H101" s="50"/>
    </row>
    <row r="102" spans="1:10" ht="19.5" customHeight="1" thickBot="1" x14ac:dyDescent="0.35">
      <c r="C102" s="177" t="s">
        <v>82</v>
      </c>
      <c r="D102" s="178">
        <f>D101/B34</f>
        <v>30</v>
      </c>
      <c r="F102" s="121"/>
      <c r="H102" s="50"/>
      <c r="J102" s="179"/>
    </row>
    <row r="103" spans="1:10" ht="18.75" x14ac:dyDescent="0.3">
      <c r="C103" s="180" t="s">
        <v>117</v>
      </c>
      <c r="D103" s="181">
        <f>AVERAGE(E91:E94,G91:G94)</f>
        <v>247931669.83234677</v>
      </c>
      <c r="F103" s="121"/>
      <c r="G103" s="176"/>
      <c r="H103" s="50"/>
      <c r="J103" s="182"/>
    </row>
    <row r="104" spans="1:10" ht="18.75" x14ac:dyDescent="0.3">
      <c r="C104" s="154" t="s">
        <v>84</v>
      </c>
      <c r="D104" s="183">
        <f>STDEV(E91:E94,G91:G94)/D103</f>
        <v>4.2381406508252605E-3</v>
      </c>
      <c r="F104" s="121"/>
      <c r="H104" s="50"/>
      <c r="J104" s="182"/>
    </row>
    <row r="105" spans="1:10" ht="19.5" customHeight="1" thickBot="1" x14ac:dyDescent="0.35">
      <c r="C105" s="156" t="s">
        <v>20</v>
      </c>
      <c r="D105" s="184">
        <f>COUNT(E91:E94,G91:G94)</f>
        <v>6</v>
      </c>
      <c r="F105" s="121"/>
      <c r="H105" s="50"/>
      <c r="J105" s="182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6" t="s">
        <v>118</v>
      </c>
      <c r="B107" s="77">
        <v>1000</v>
      </c>
      <c r="C107" s="159" t="s">
        <v>119</v>
      </c>
      <c r="D107" s="185" t="s">
        <v>63</v>
      </c>
      <c r="E107" s="186" t="s">
        <v>120</v>
      </c>
      <c r="F107" s="187" t="s">
        <v>121</v>
      </c>
    </row>
    <row r="108" spans="1:10" ht="26.25" customHeight="1" x14ac:dyDescent="0.4">
      <c r="A108" s="78" t="s">
        <v>122</v>
      </c>
      <c r="B108" s="79">
        <v>1</v>
      </c>
      <c r="C108" s="188">
        <v>1</v>
      </c>
      <c r="D108" s="189">
        <v>229122898</v>
      </c>
      <c r="E108" s="190">
        <f t="shared" ref="E108:E113" si="1">IF(ISBLANK(D108),"-",D108/$D$103*$D$100*$B$116)</f>
        <v>554.4823656169491</v>
      </c>
      <c r="F108" s="191">
        <f t="shared" ref="F108:F113" si="2">IF(ISBLANK(D108), "-", E108/$B$56)</f>
        <v>0.92413727602824847</v>
      </c>
    </row>
    <row r="109" spans="1:10" ht="26.25" customHeight="1" x14ac:dyDescent="0.4">
      <c r="A109" s="78" t="s">
        <v>95</v>
      </c>
      <c r="B109" s="79">
        <v>1</v>
      </c>
      <c r="C109" s="188">
        <v>2</v>
      </c>
      <c r="D109" s="189">
        <v>229612129</v>
      </c>
      <c r="E109" s="192">
        <f t="shared" si="1"/>
        <v>555.66631521160343</v>
      </c>
      <c r="F109" s="193">
        <f t="shared" si="2"/>
        <v>0.92611052535267235</v>
      </c>
    </row>
    <row r="110" spans="1:10" ht="26.25" customHeight="1" x14ac:dyDescent="0.4">
      <c r="A110" s="78" t="s">
        <v>96</v>
      </c>
      <c r="B110" s="79">
        <v>1</v>
      </c>
      <c r="C110" s="188">
        <v>3</v>
      </c>
      <c r="D110" s="189">
        <v>230034010</v>
      </c>
      <c r="E110" s="192">
        <f t="shared" si="1"/>
        <v>556.68727635049777</v>
      </c>
      <c r="F110" s="193">
        <f t="shared" si="2"/>
        <v>0.92781212725082962</v>
      </c>
    </row>
    <row r="111" spans="1:10" ht="26.25" customHeight="1" x14ac:dyDescent="0.4">
      <c r="A111" s="78" t="s">
        <v>97</v>
      </c>
      <c r="B111" s="79">
        <v>1</v>
      </c>
      <c r="C111" s="188">
        <v>4</v>
      </c>
      <c r="D111" s="189">
        <v>229395670</v>
      </c>
      <c r="E111" s="192">
        <f t="shared" si="1"/>
        <v>555.14247975287481</v>
      </c>
      <c r="F111" s="193">
        <f t="shared" si="2"/>
        <v>0.92523746625479131</v>
      </c>
    </row>
    <row r="112" spans="1:10" ht="26.25" customHeight="1" x14ac:dyDescent="0.4">
      <c r="A112" s="78" t="s">
        <v>98</v>
      </c>
      <c r="B112" s="79">
        <v>1</v>
      </c>
      <c r="C112" s="188">
        <v>5</v>
      </c>
      <c r="D112" s="189">
        <v>230083415</v>
      </c>
      <c r="E112" s="192">
        <f t="shared" si="1"/>
        <v>556.80683751837944</v>
      </c>
      <c r="F112" s="193">
        <f t="shared" si="2"/>
        <v>0.92801139586396575</v>
      </c>
    </row>
    <row r="113" spans="1:10" ht="26.25" customHeight="1" x14ac:dyDescent="0.4">
      <c r="A113" s="78" t="s">
        <v>100</v>
      </c>
      <c r="B113" s="79">
        <v>1</v>
      </c>
      <c r="C113" s="194">
        <v>6</v>
      </c>
      <c r="D113" s="195">
        <v>229773746</v>
      </c>
      <c r="E113" s="196">
        <f t="shared" si="1"/>
        <v>556.05743184493065</v>
      </c>
      <c r="F113" s="197">
        <f t="shared" si="2"/>
        <v>0.92676238640821773</v>
      </c>
    </row>
    <row r="114" spans="1:10" ht="26.25" customHeight="1" x14ac:dyDescent="0.4">
      <c r="A114" s="78" t="s">
        <v>101</v>
      </c>
      <c r="B114" s="79">
        <v>1</v>
      </c>
      <c r="C114" s="188"/>
      <c r="D114" s="107"/>
      <c r="E114" s="52"/>
      <c r="F114" s="198"/>
    </row>
    <row r="115" spans="1:10" ht="26.25" customHeight="1" x14ac:dyDescent="0.4">
      <c r="A115" s="78" t="s">
        <v>102</v>
      </c>
      <c r="B115" s="79">
        <v>1</v>
      </c>
      <c r="C115" s="188"/>
      <c r="D115" s="199" t="s">
        <v>71</v>
      </c>
      <c r="E115" s="200">
        <f>AVERAGE(E108:E113)</f>
        <v>555.80711771587255</v>
      </c>
      <c r="F115" s="201">
        <f>AVERAGE(F108:F113)</f>
        <v>0.92634519619312083</v>
      </c>
    </row>
    <row r="116" spans="1:10" ht="27" customHeight="1" thickBot="1" x14ac:dyDescent="0.45">
      <c r="A116" s="78" t="s">
        <v>103</v>
      </c>
      <c r="B116" s="90">
        <f>(B115/B114)*(B113/B112)*(B111/B110)*(B109/B108)*B107</f>
        <v>1000</v>
      </c>
      <c r="C116" s="202"/>
      <c r="D116" s="63" t="s">
        <v>84</v>
      </c>
      <c r="E116" s="203">
        <f>STDEV(E108:E113)/E115</f>
        <v>1.6199289733396364E-3</v>
      </c>
      <c r="F116" s="203">
        <f>STDEV(F108:F113)/F115</f>
        <v>1.6199289733396568E-3</v>
      </c>
      <c r="I116" s="52"/>
    </row>
    <row r="117" spans="1:10" ht="27" customHeight="1" thickBot="1" x14ac:dyDescent="0.45">
      <c r="A117" s="262" t="s">
        <v>78</v>
      </c>
      <c r="B117" s="266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52"/>
      <c r="J117" s="182"/>
    </row>
    <row r="118" spans="1:10" ht="19.5" customHeight="1" thickBot="1" x14ac:dyDescent="0.35">
      <c r="A118" s="264"/>
      <c r="B118" s="267"/>
      <c r="C118" s="52"/>
      <c r="D118" s="52"/>
      <c r="E118" s="52"/>
      <c r="F118" s="107"/>
      <c r="G118" s="52"/>
      <c r="H118" s="52"/>
      <c r="I118" s="52"/>
    </row>
    <row r="119" spans="1:10" ht="18.75" x14ac:dyDescent="0.3">
      <c r="A119" s="207"/>
      <c r="B119" s="74"/>
      <c r="C119" s="52"/>
      <c r="D119" s="52"/>
      <c r="E119" s="52"/>
      <c r="F119" s="107"/>
      <c r="G119" s="52"/>
      <c r="H119" s="52"/>
      <c r="I119" s="52"/>
    </row>
    <row r="120" spans="1:10" ht="26.25" customHeight="1" x14ac:dyDescent="0.4">
      <c r="A120" s="62" t="s">
        <v>106</v>
      </c>
      <c r="B120" s="63" t="s">
        <v>123</v>
      </c>
      <c r="C120" s="268" t="str">
        <f>B20</f>
        <v xml:space="preserve">Tenofovir Disoproxil Fumarate 300mg, Lamivudine 300mg &amp; Efavirenz 600mg </v>
      </c>
      <c r="D120" s="268"/>
      <c r="E120" s="52" t="s">
        <v>124</v>
      </c>
      <c r="F120" s="52"/>
      <c r="G120" s="158">
        <f>F115</f>
        <v>0.92634519619312083</v>
      </c>
      <c r="H120" s="52"/>
      <c r="I120" s="52"/>
    </row>
    <row r="121" spans="1:10" ht="19.5" customHeight="1" thickBot="1" x14ac:dyDescent="0.35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269" t="s">
        <v>26</v>
      </c>
      <c r="C122" s="269"/>
      <c r="E122" s="161" t="s">
        <v>27</v>
      </c>
      <c r="F122" s="210"/>
      <c r="G122" s="269" t="s">
        <v>28</v>
      </c>
      <c r="H122" s="269"/>
    </row>
    <row r="123" spans="1:10" ht="69.95" customHeight="1" x14ac:dyDescent="0.3">
      <c r="A123" s="62" t="s">
        <v>29</v>
      </c>
      <c r="B123" s="211"/>
      <c r="C123" s="211"/>
      <c r="E123" s="211"/>
      <c r="F123" s="52"/>
      <c r="G123" s="211"/>
      <c r="H123" s="211"/>
    </row>
    <row r="124" spans="1:10" ht="69.95" customHeight="1" x14ac:dyDescent="0.3">
      <c r="A124" s="62" t="s">
        <v>30</v>
      </c>
      <c r="B124" s="212"/>
      <c r="C124" s="212"/>
      <c r="E124" s="212"/>
      <c r="F124" s="52"/>
      <c r="G124" s="213"/>
      <c r="H124" s="213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52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52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52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52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52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52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52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52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52"/>
    </row>
    <row r="250" spans="1:1" x14ac:dyDescent="0.25">
      <c r="A250" s="48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79" zoomScale="70" zoomScaleNormal="40" zoomScalePageLayoutView="70" workbookViewId="0">
      <selection activeCell="F93" sqref="F9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1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thickBot="1" x14ac:dyDescent="0.35">
      <c r="A15" s="52"/>
    </row>
    <row r="16" spans="1:9" ht="19.5" customHeight="1" thickBot="1" x14ac:dyDescent="0.35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53" t="s">
        <v>33</v>
      </c>
      <c r="B18" s="297" t="s">
        <v>125</v>
      </c>
      <c r="C18" s="297"/>
      <c r="D18" s="54"/>
      <c r="E18" s="55"/>
      <c r="F18" s="56"/>
      <c r="G18" s="56"/>
      <c r="H18" s="56"/>
    </row>
    <row r="19" spans="1:14" ht="26.25" customHeight="1" x14ac:dyDescent="0.4">
      <c r="A19" s="53" t="s">
        <v>34</v>
      </c>
      <c r="B19" s="57" t="s">
        <v>7</v>
      </c>
      <c r="C19" s="56">
        <v>29</v>
      </c>
      <c r="D19" s="56"/>
      <c r="E19" s="56"/>
      <c r="F19" s="56"/>
      <c r="G19" s="56"/>
      <c r="H19" s="56"/>
    </row>
    <row r="20" spans="1:14" ht="26.25" customHeight="1" x14ac:dyDescent="0.4">
      <c r="A20" s="53" t="s">
        <v>35</v>
      </c>
      <c r="B20" s="298" t="s">
        <v>126</v>
      </c>
      <c r="C20" s="298"/>
      <c r="D20" s="56"/>
      <c r="E20" s="56"/>
      <c r="F20" s="56"/>
      <c r="G20" s="56"/>
      <c r="H20" s="56"/>
    </row>
    <row r="21" spans="1:14" ht="26.25" customHeight="1" x14ac:dyDescent="0.4">
      <c r="A21" s="53" t="s">
        <v>36</v>
      </c>
      <c r="B21" s="298" t="s">
        <v>11</v>
      </c>
      <c r="C21" s="298"/>
      <c r="D21" s="298"/>
      <c r="E21" s="298"/>
      <c r="F21" s="298"/>
      <c r="G21" s="298"/>
      <c r="H21" s="298"/>
      <c r="I21" s="58"/>
    </row>
    <row r="22" spans="1:14" ht="26.25" customHeight="1" x14ac:dyDescent="0.4">
      <c r="A22" s="53" t="s">
        <v>37</v>
      </c>
      <c r="B22" s="59" t="s">
        <v>127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3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3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97" t="s">
        <v>128</v>
      </c>
      <c r="C26" s="297"/>
    </row>
    <row r="27" spans="1:14" ht="26.25" customHeight="1" x14ac:dyDescent="0.4">
      <c r="A27" s="63" t="s">
        <v>48</v>
      </c>
      <c r="B27" s="299" t="s">
        <v>129</v>
      </c>
      <c r="C27" s="299"/>
    </row>
    <row r="28" spans="1:14" ht="27" customHeight="1" thickBot="1" x14ac:dyDescent="0.45">
      <c r="A28" s="63" t="s">
        <v>6</v>
      </c>
      <c r="B28" s="64">
        <v>98.8</v>
      </c>
    </row>
    <row r="29" spans="1:14" s="49" customFormat="1" ht="27" customHeight="1" thickBot="1" x14ac:dyDescent="0.45">
      <c r="A29" s="63" t="s">
        <v>49</v>
      </c>
      <c r="B29" s="65">
        <v>0</v>
      </c>
      <c r="C29" s="280" t="s">
        <v>50</v>
      </c>
      <c r="D29" s="281"/>
      <c r="E29" s="281"/>
      <c r="F29" s="281"/>
      <c r="G29" s="282"/>
      <c r="I29" s="66"/>
      <c r="J29" s="66"/>
      <c r="K29" s="66"/>
      <c r="L29" s="66"/>
    </row>
    <row r="30" spans="1:14" s="49" customFormat="1" ht="19.5" customHeight="1" thickBot="1" x14ac:dyDescent="0.35">
      <c r="A30" s="63" t="s">
        <v>51</v>
      </c>
      <c r="B30" s="67">
        <f>B28-B29</f>
        <v>98.8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9" customFormat="1" ht="27" customHeight="1" thickBot="1" x14ac:dyDescent="0.45">
      <c r="A31" s="63" t="s">
        <v>52</v>
      </c>
      <c r="B31" s="70">
        <v>1</v>
      </c>
      <c r="C31" s="283" t="s">
        <v>53</v>
      </c>
      <c r="D31" s="284"/>
      <c r="E31" s="284"/>
      <c r="F31" s="284"/>
      <c r="G31" s="284"/>
      <c r="H31" s="285"/>
      <c r="I31" s="66"/>
      <c r="J31" s="66"/>
      <c r="K31" s="66"/>
      <c r="L31" s="66"/>
    </row>
    <row r="32" spans="1:14" s="49" customFormat="1" ht="27" customHeight="1" thickBot="1" x14ac:dyDescent="0.45">
      <c r="A32" s="63" t="s">
        <v>54</v>
      </c>
      <c r="B32" s="70">
        <v>1</v>
      </c>
      <c r="C32" s="283" t="s">
        <v>55</v>
      </c>
      <c r="D32" s="284"/>
      <c r="E32" s="284"/>
      <c r="F32" s="284"/>
      <c r="G32" s="284"/>
      <c r="H32" s="285"/>
      <c r="I32" s="66"/>
      <c r="J32" s="66"/>
      <c r="K32" s="66"/>
      <c r="L32" s="71"/>
      <c r="M32" s="71"/>
      <c r="N32" s="72"/>
    </row>
    <row r="33" spans="1:14" s="49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9" customFormat="1" ht="18.75" x14ac:dyDescent="0.3">
      <c r="A34" s="63" t="s">
        <v>56</v>
      </c>
      <c r="B34" s="75">
        <f>B31/B32</f>
        <v>1</v>
      </c>
      <c r="C34" s="52" t="s">
        <v>57</v>
      </c>
      <c r="D34" s="52"/>
      <c r="E34" s="52"/>
      <c r="F34" s="52"/>
      <c r="G34" s="52"/>
      <c r="I34" s="66"/>
      <c r="J34" s="66"/>
      <c r="K34" s="66"/>
      <c r="L34" s="71"/>
      <c r="M34" s="71"/>
      <c r="N34" s="72"/>
    </row>
    <row r="35" spans="1:14" s="49" customFormat="1" ht="19.5" customHeight="1" thickBot="1" x14ac:dyDescent="0.35">
      <c r="A35" s="63"/>
      <c r="B35" s="67"/>
      <c r="G35" s="52"/>
      <c r="I35" s="66"/>
      <c r="J35" s="66"/>
      <c r="K35" s="66"/>
      <c r="L35" s="71"/>
      <c r="M35" s="71"/>
      <c r="N35" s="72"/>
    </row>
    <row r="36" spans="1:14" s="49" customFormat="1" ht="27" customHeight="1" thickBot="1" x14ac:dyDescent="0.45">
      <c r="A36" s="76" t="s">
        <v>58</v>
      </c>
      <c r="B36" s="77">
        <v>25</v>
      </c>
      <c r="C36" s="52"/>
      <c r="D36" s="270" t="s">
        <v>59</v>
      </c>
      <c r="E36" s="290"/>
      <c r="F36" s="270" t="s">
        <v>60</v>
      </c>
      <c r="G36" s="271"/>
      <c r="J36" s="66"/>
      <c r="K36" s="66"/>
      <c r="L36" s="71"/>
      <c r="M36" s="71"/>
      <c r="N36" s="72"/>
    </row>
    <row r="37" spans="1:14" s="49" customFormat="1" ht="27" customHeight="1" thickBot="1" x14ac:dyDescent="0.45">
      <c r="A37" s="78" t="s">
        <v>61</v>
      </c>
      <c r="B37" s="79">
        <v>5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49" customFormat="1" ht="26.25" customHeight="1" x14ac:dyDescent="0.4">
      <c r="A38" s="78" t="s">
        <v>66</v>
      </c>
      <c r="B38" s="79">
        <v>50</v>
      </c>
      <c r="C38" s="85">
        <v>1</v>
      </c>
      <c r="D38" s="86">
        <v>2677068</v>
      </c>
      <c r="E38" s="87">
        <f>IF(ISBLANK(D38),"-",$D$48/$D$45*D38)</f>
        <v>2727768.1167296148</v>
      </c>
      <c r="F38" s="86">
        <v>2931629</v>
      </c>
      <c r="G38" s="88">
        <f>IF(ISBLANK(F38),"-",$D$48/$F$45*F38)</f>
        <v>2679622.965044715</v>
      </c>
      <c r="I38" s="89"/>
      <c r="J38" s="66"/>
      <c r="K38" s="66"/>
      <c r="L38" s="71"/>
      <c r="M38" s="71"/>
      <c r="N38" s="72"/>
    </row>
    <row r="39" spans="1:14" s="49" customFormat="1" ht="26.25" customHeight="1" x14ac:dyDescent="0.4">
      <c r="A39" s="78" t="s">
        <v>67</v>
      </c>
      <c r="B39" s="79">
        <v>1</v>
      </c>
      <c r="C39" s="90">
        <v>2</v>
      </c>
      <c r="D39" s="91">
        <v>2629528</v>
      </c>
      <c r="E39" s="92">
        <f>IF(ISBLANK(D39),"-",$D$48/$D$45*D39)</f>
        <v>2679327.7721924847</v>
      </c>
      <c r="F39" s="86">
        <v>2991117</v>
      </c>
      <c r="G39" s="93">
        <f>IF(ISBLANK(F39),"-",$D$48/$F$45*F39)</f>
        <v>2733997.3115068967</v>
      </c>
      <c r="I39" s="261">
        <f>ABS((F43/D43*D42)-F42)/D42</f>
        <v>4.1397438670751326E-3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91">
        <v>2614418</v>
      </c>
      <c r="E40" s="92">
        <f>IF(ISBLANK(D40),"-",$D$48/$D$45*D40)</f>
        <v>2663931.6088362364</v>
      </c>
      <c r="F40" s="86">
        <v>2874533</v>
      </c>
      <c r="G40" s="93">
        <f>IF(ISBLANK(F40),"-",$D$48/$F$45*F40)</f>
        <v>2627434.9996465719</v>
      </c>
      <c r="I40" s="261"/>
      <c r="L40" s="71"/>
      <c r="M40" s="71"/>
      <c r="N40" s="52"/>
    </row>
    <row r="41" spans="1:14" ht="27" customHeight="1" thickBot="1" x14ac:dyDescent="0.45">
      <c r="A41" s="78" t="s">
        <v>69</v>
      </c>
      <c r="B41" s="79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1"/>
      <c r="M41" s="71"/>
      <c r="N41" s="52"/>
    </row>
    <row r="42" spans="1:14" ht="27" customHeight="1" thickBot="1" x14ac:dyDescent="0.45">
      <c r="A42" s="78" t="s">
        <v>70</v>
      </c>
      <c r="B42" s="79">
        <v>1</v>
      </c>
      <c r="C42" s="99" t="s">
        <v>71</v>
      </c>
      <c r="D42" s="100">
        <f>AVERAGE(D38:D41)</f>
        <v>2640338</v>
      </c>
      <c r="E42" s="101">
        <f>AVERAGE(E38:E41)</f>
        <v>2690342.4992527785</v>
      </c>
      <c r="F42" s="100">
        <f>AVERAGE(F38:F41)</f>
        <v>2932426.3333333335</v>
      </c>
      <c r="G42" s="102">
        <f>AVERAGE(G38:G41)</f>
        <v>2680351.7587327282</v>
      </c>
      <c r="H42" s="50"/>
    </row>
    <row r="43" spans="1:14" ht="26.25" customHeight="1" x14ac:dyDescent="0.4">
      <c r="A43" s="78" t="s">
        <v>72</v>
      </c>
      <c r="B43" s="79">
        <v>1</v>
      </c>
      <c r="C43" s="103" t="s">
        <v>73</v>
      </c>
      <c r="D43" s="104">
        <v>14.9</v>
      </c>
      <c r="E43" s="52"/>
      <c r="F43" s="104">
        <v>16.61</v>
      </c>
      <c r="H43" s="50"/>
    </row>
    <row r="44" spans="1:14" ht="26.25" customHeight="1" x14ac:dyDescent="0.4">
      <c r="A44" s="78" t="s">
        <v>74</v>
      </c>
      <c r="B44" s="79">
        <v>1</v>
      </c>
      <c r="C44" s="105" t="s">
        <v>75</v>
      </c>
      <c r="D44" s="106">
        <f>D43*$B$34</f>
        <v>14.9</v>
      </c>
      <c r="E44" s="107"/>
      <c r="F44" s="106">
        <f>F43*$B$34</f>
        <v>16.61</v>
      </c>
      <c r="H44" s="50"/>
    </row>
    <row r="45" spans="1:14" ht="19.5" customHeight="1" thickBot="1" x14ac:dyDescent="0.35">
      <c r="A45" s="78" t="s">
        <v>76</v>
      </c>
      <c r="B45" s="90">
        <f>(B44/B43)*(B42/B41)*(B40/B39)*(B38/B37)*B36</f>
        <v>250</v>
      </c>
      <c r="C45" s="105" t="s">
        <v>77</v>
      </c>
      <c r="D45" s="108">
        <f>D44*$B$30/100</f>
        <v>14.7212</v>
      </c>
      <c r="E45" s="109"/>
      <c r="F45" s="108">
        <f>F44*$B$30/100</f>
        <v>16.410679999999999</v>
      </c>
      <c r="H45" s="50"/>
    </row>
    <row r="46" spans="1:14" ht="19.5" customHeight="1" thickBot="1" x14ac:dyDescent="0.35">
      <c r="A46" s="262" t="s">
        <v>78</v>
      </c>
      <c r="B46" s="266"/>
      <c r="C46" s="105" t="s">
        <v>79</v>
      </c>
      <c r="D46" s="110">
        <f>D45/$B$45</f>
        <v>5.8884800000000001E-2</v>
      </c>
      <c r="E46" s="111"/>
      <c r="F46" s="112">
        <f>F45/$B$45</f>
        <v>6.5642720000000002E-2</v>
      </c>
      <c r="H46" s="50"/>
    </row>
    <row r="47" spans="1:14" ht="27" customHeight="1" thickBot="1" x14ac:dyDescent="0.45">
      <c r="A47" s="264"/>
      <c r="B47" s="267"/>
      <c r="C47" s="113" t="s">
        <v>80</v>
      </c>
      <c r="D47" s="114">
        <v>0.06</v>
      </c>
      <c r="E47" s="115"/>
      <c r="F47" s="111"/>
      <c r="H47" s="50"/>
    </row>
    <row r="48" spans="1:14" ht="18.75" x14ac:dyDescent="0.3">
      <c r="C48" s="116" t="s">
        <v>81</v>
      </c>
      <c r="D48" s="108">
        <f>D47*$B$45</f>
        <v>15</v>
      </c>
      <c r="F48" s="117"/>
      <c r="H48" s="50"/>
    </row>
    <row r="49" spans="1:12" ht="19.5" customHeight="1" thickBot="1" x14ac:dyDescent="0.35">
      <c r="C49" s="118" t="s">
        <v>82</v>
      </c>
      <c r="D49" s="119">
        <f>D48/B34</f>
        <v>15</v>
      </c>
      <c r="F49" s="117"/>
      <c r="H49" s="50"/>
    </row>
    <row r="50" spans="1:12" ht="18.75" x14ac:dyDescent="0.3">
      <c r="C50" s="76" t="s">
        <v>83</v>
      </c>
      <c r="D50" s="120">
        <f>AVERAGE(E38:E41,G38:G41)</f>
        <v>2685347.1289927536</v>
      </c>
      <c r="F50" s="121"/>
      <c r="H50" s="50"/>
    </row>
    <row r="51" spans="1:12" ht="18.75" x14ac:dyDescent="0.3">
      <c r="C51" s="78" t="s">
        <v>84</v>
      </c>
      <c r="D51" s="122">
        <f>STDEV(E38:E41,G38:G41)/D50</f>
        <v>1.494010493157924E-2</v>
      </c>
      <c r="F51" s="121"/>
      <c r="H51" s="50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2" t="s">
        <v>86</v>
      </c>
      <c r="B55" s="127" t="str">
        <f>B21</f>
        <v>Tenofovir Disoproxil Fumarate 300mg, Lamivudine 300mg, Efavirenz 600mg</v>
      </c>
    </row>
    <row r="56" spans="1:12" ht="26.25" customHeight="1" x14ac:dyDescent="0.4">
      <c r="A56" s="127" t="s">
        <v>87</v>
      </c>
      <c r="B56" s="128">
        <v>300</v>
      </c>
      <c r="C56" s="52" t="str">
        <f>B20</f>
        <v xml:space="preserve">Tenofovir Disoproxil Fumarate 300mg, Lamivudine 300mg &amp; Efavirenz 600mg </v>
      </c>
      <c r="H56" s="107"/>
    </row>
    <row r="57" spans="1:12" ht="18.75" x14ac:dyDescent="0.3">
      <c r="A57" s="127" t="s">
        <v>88</v>
      </c>
      <c r="B57" s="129">
        <f>Uniformity!C46</f>
        <v>1897.2600000000002</v>
      </c>
      <c r="H57" s="107"/>
    </row>
    <row r="58" spans="1:12" ht="19.5" customHeight="1" thickBot="1" x14ac:dyDescent="0.35">
      <c r="H58" s="107"/>
    </row>
    <row r="59" spans="1:12" s="49" customFormat="1" ht="27" customHeight="1" thickBot="1" x14ac:dyDescent="0.45">
      <c r="A59" s="76" t="s">
        <v>89</v>
      </c>
      <c r="B59" s="77">
        <v>200</v>
      </c>
      <c r="C59" s="52"/>
      <c r="D59" s="130" t="s">
        <v>90</v>
      </c>
      <c r="E59" s="131" t="s">
        <v>62</v>
      </c>
      <c r="F59" s="131" t="s">
        <v>63</v>
      </c>
      <c r="G59" s="131" t="s">
        <v>91</v>
      </c>
      <c r="H59" s="80" t="s">
        <v>92</v>
      </c>
      <c r="L59" s="66"/>
    </row>
    <row r="60" spans="1:12" s="49" customFormat="1" ht="26.25" customHeight="1" x14ac:dyDescent="0.4">
      <c r="A60" s="78" t="s">
        <v>93</v>
      </c>
      <c r="B60" s="79">
        <v>4</v>
      </c>
      <c r="C60" s="272" t="s">
        <v>94</v>
      </c>
      <c r="D60" s="275">
        <v>1894.27</v>
      </c>
      <c r="E60" s="132">
        <v>1</v>
      </c>
      <c r="F60" s="133">
        <v>2612997</v>
      </c>
      <c r="G60" s="134">
        <f>IF(ISBLANK(F60),"-",(F60/$D$50*$D$47*$B$68)*($B$57/$D$60))</f>
        <v>292.37800682080507</v>
      </c>
      <c r="H60" s="135">
        <f t="shared" ref="H60:H71" si="0">IF(ISBLANK(F60),"-",G60/$B$56)</f>
        <v>0.97459335606935027</v>
      </c>
      <c r="L60" s="66"/>
    </row>
    <row r="61" spans="1:12" s="49" customFormat="1" ht="26.25" customHeight="1" x14ac:dyDescent="0.4">
      <c r="A61" s="78" t="s">
        <v>95</v>
      </c>
      <c r="B61" s="79">
        <v>100</v>
      </c>
      <c r="C61" s="273"/>
      <c r="D61" s="276"/>
      <c r="E61" s="136">
        <v>2</v>
      </c>
      <c r="F61" s="91">
        <v>2642906</v>
      </c>
      <c r="G61" s="137">
        <f>IF(ISBLANK(F61),"-",(F61/$D$50*$D$47*$B$68)*($B$57/$D$60))</f>
        <v>295.72463668911473</v>
      </c>
      <c r="H61" s="138">
        <f t="shared" si="0"/>
        <v>0.98574878896371576</v>
      </c>
      <c r="L61" s="66"/>
    </row>
    <row r="62" spans="1:12" s="49" customFormat="1" ht="26.25" customHeight="1" x14ac:dyDescent="0.4">
      <c r="A62" s="78" t="s">
        <v>96</v>
      </c>
      <c r="B62" s="79">
        <v>1</v>
      </c>
      <c r="C62" s="273"/>
      <c r="D62" s="276"/>
      <c r="E62" s="136">
        <v>3</v>
      </c>
      <c r="F62" s="139">
        <v>2619083</v>
      </c>
      <c r="G62" s="137">
        <f>IF(ISBLANK(F62),"-",(F62/$D$50*$D$47*$B$68)*($B$57/$D$60))</f>
        <v>293.05899212217031</v>
      </c>
      <c r="H62" s="138">
        <f t="shared" si="0"/>
        <v>0.97686330707390101</v>
      </c>
      <c r="L62" s="66"/>
    </row>
    <row r="63" spans="1:12" ht="27" customHeight="1" thickBot="1" x14ac:dyDescent="0.45">
      <c r="A63" s="78" t="s">
        <v>97</v>
      </c>
      <c r="B63" s="79">
        <v>1</v>
      </c>
      <c r="C63" s="274"/>
      <c r="D63" s="277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272" t="s">
        <v>99</v>
      </c>
      <c r="D64" s="275">
        <v>1895.53</v>
      </c>
      <c r="E64" s="132">
        <v>1</v>
      </c>
      <c r="F64" s="133"/>
      <c r="G64" s="142" t="str">
        <f>IF(ISBLANK(F64),"-",(F64/$D$50*$D$47*$B$68)*($B$57/$D$64))</f>
        <v>-</v>
      </c>
      <c r="H64" s="143" t="str">
        <f t="shared" si="0"/>
        <v>-</v>
      </c>
    </row>
    <row r="65" spans="1:8" ht="26.25" customHeight="1" x14ac:dyDescent="0.4">
      <c r="A65" s="78" t="s">
        <v>100</v>
      </c>
      <c r="B65" s="79">
        <v>1</v>
      </c>
      <c r="C65" s="273"/>
      <c r="D65" s="276"/>
      <c r="E65" s="136">
        <v>2</v>
      </c>
      <c r="F65" s="91"/>
      <c r="G65" s="144" t="str">
        <f>IF(ISBLANK(F65),"-",(F65/$D$50*$D$47*$B$68)*($B$57/$D$64))</f>
        <v>-</v>
      </c>
      <c r="H65" s="145" t="str">
        <f t="shared" si="0"/>
        <v>-</v>
      </c>
    </row>
    <row r="66" spans="1:8" ht="26.25" customHeight="1" x14ac:dyDescent="0.4">
      <c r="A66" s="78" t="s">
        <v>101</v>
      </c>
      <c r="B66" s="79">
        <v>1</v>
      </c>
      <c r="C66" s="273"/>
      <c r="D66" s="276"/>
      <c r="E66" s="136">
        <v>3</v>
      </c>
      <c r="F66" s="91"/>
      <c r="G66" s="144" t="str">
        <f>IF(ISBLANK(F66),"-",(F66/$D$50*$D$47*$B$68)*($B$57/$D$64))</f>
        <v>-</v>
      </c>
      <c r="H66" s="145" t="str">
        <f t="shared" si="0"/>
        <v>-</v>
      </c>
    </row>
    <row r="67" spans="1:8" ht="27" customHeight="1" thickBot="1" x14ac:dyDescent="0.45">
      <c r="A67" s="78" t="s">
        <v>102</v>
      </c>
      <c r="B67" s="79">
        <v>1</v>
      </c>
      <c r="C67" s="274"/>
      <c r="D67" s="277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8" t="s">
        <v>103</v>
      </c>
      <c r="B68" s="148">
        <f>(B67/B66)*(B65/B64)*(B63/B62)*(B61/B60)*B59</f>
        <v>5000</v>
      </c>
      <c r="C68" s="272" t="s">
        <v>104</v>
      </c>
      <c r="D68" s="275">
        <v>1897.44</v>
      </c>
      <c r="E68" s="132">
        <v>1</v>
      </c>
      <c r="F68" s="133">
        <v>2585725</v>
      </c>
      <c r="G68" s="142">
        <f>IF(ISBLANK(F68),"-",(F68/$D$50*$D$47*$B$68)*($B$57/$D$68))</f>
        <v>288.84307114299781</v>
      </c>
      <c r="H68" s="138">
        <f t="shared" si="0"/>
        <v>0.96281023714332603</v>
      </c>
    </row>
    <row r="69" spans="1:8" ht="27" customHeight="1" thickBot="1" x14ac:dyDescent="0.45">
      <c r="A69" s="123" t="s">
        <v>105</v>
      </c>
      <c r="B69" s="149">
        <f>(D47*B68)/B56*B57</f>
        <v>1897.2600000000002</v>
      </c>
      <c r="C69" s="273"/>
      <c r="D69" s="276"/>
      <c r="E69" s="136">
        <v>2</v>
      </c>
      <c r="F69" s="91">
        <v>2565448</v>
      </c>
      <c r="G69" s="144">
        <f>IF(ISBLANK(F69),"-",(F69/$D$50*$D$47*$B$68)*($B$57/$D$68))</f>
        <v>286.57799231459705</v>
      </c>
      <c r="H69" s="138">
        <f t="shared" si="0"/>
        <v>0.95525997438199017</v>
      </c>
    </row>
    <row r="70" spans="1:8" ht="26.25" customHeight="1" x14ac:dyDescent="0.4">
      <c r="A70" s="286" t="s">
        <v>78</v>
      </c>
      <c r="B70" s="287"/>
      <c r="C70" s="273"/>
      <c r="D70" s="276"/>
      <c r="E70" s="136">
        <v>3</v>
      </c>
      <c r="F70" s="91">
        <v>2535286</v>
      </c>
      <c r="G70" s="144">
        <f>IF(ISBLANK(F70),"-",(F70/$D$50*$D$47*$B$68)*($B$57/$D$68))</f>
        <v>283.20869174635595</v>
      </c>
      <c r="H70" s="138">
        <f t="shared" si="0"/>
        <v>0.94402897248785322</v>
      </c>
    </row>
    <row r="71" spans="1:8" ht="27" customHeight="1" thickBot="1" x14ac:dyDescent="0.45">
      <c r="A71" s="288"/>
      <c r="B71" s="289"/>
      <c r="C71" s="278"/>
      <c r="D71" s="277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71</v>
      </c>
      <c r="G72" s="152">
        <f>AVERAGE(G60:G71)</f>
        <v>289.96523180600678</v>
      </c>
      <c r="H72" s="153">
        <f>AVERAGE(H60:H71)</f>
        <v>0.96655077268668943</v>
      </c>
    </row>
    <row r="73" spans="1:8" ht="26.25" customHeight="1" x14ac:dyDescent="0.4">
      <c r="C73" s="107"/>
      <c r="D73" s="107"/>
      <c r="E73" s="107"/>
      <c r="F73" s="154" t="s">
        <v>84</v>
      </c>
      <c r="G73" s="155">
        <f>STDEV(G60:G71)/G72</f>
        <v>1.5949735159506602E-2</v>
      </c>
      <c r="H73" s="155">
        <f>STDEV(H60:H71)/H72</f>
        <v>1.5949735159506585E-2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20</v>
      </c>
      <c r="G74" s="157">
        <f>COUNT(G60:G71)</f>
        <v>6</v>
      </c>
      <c r="H74" s="157">
        <f>COUNT(H60:H71)</f>
        <v>6</v>
      </c>
    </row>
    <row r="76" spans="1:8" ht="26.25" customHeight="1" x14ac:dyDescent="0.4">
      <c r="A76" s="62" t="s">
        <v>106</v>
      </c>
      <c r="B76" s="63" t="s">
        <v>107</v>
      </c>
      <c r="C76" s="268" t="str">
        <f>B20</f>
        <v xml:space="preserve">Tenofovir Disoproxil Fumarate 300mg, Lamivudine 300mg &amp; Efavirenz 600mg </v>
      </c>
      <c r="D76" s="268"/>
      <c r="E76" s="52" t="s">
        <v>108</v>
      </c>
      <c r="F76" s="52"/>
      <c r="G76" s="158">
        <f>H72</f>
        <v>0.96655077268668943</v>
      </c>
      <c r="H76" s="67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79" t="str">
        <f>B26</f>
        <v>Tenofovir Disoproxil Fumurate</v>
      </c>
      <c r="C79" s="279"/>
    </row>
    <row r="80" spans="1:8" ht="26.25" customHeight="1" x14ac:dyDescent="0.4">
      <c r="A80" s="63" t="s">
        <v>48</v>
      </c>
      <c r="B80" s="279" t="str">
        <f>B27</f>
        <v>T11-8</v>
      </c>
      <c r="C80" s="279"/>
    </row>
    <row r="81" spans="1:12" ht="27" customHeight="1" thickBot="1" x14ac:dyDescent="0.45">
      <c r="A81" s="63" t="s">
        <v>6</v>
      </c>
      <c r="B81" s="64">
        <f>B28</f>
        <v>98.8</v>
      </c>
    </row>
    <row r="82" spans="1:12" s="49" customFormat="1" ht="27" customHeight="1" thickBot="1" x14ac:dyDescent="0.45">
      <c r="A82" s="63" t="s">
        <v>49</v>
      </c>
      <c r="B82" s="65">
        <v>0</v>
      </c>
      <c r="C82" s="280" t="s">
        <v>50</v>
      </c>
      <c r="D82" s="281"/>
      <c r="E82" s="281"/>
      <c r="F82" s="281"/>
      <c r="G82" s="282"/>
      <c r="I82" s="66"/>
      <c r="J82" s="66"/>
      <c r="K82" s="66"/>
      <c r="L82" s="66"/>
    </row>
    <row r="83" spans="1:12" s="49" customFormat="1" ht="19.5" customHeight="1" thickBot="1" x14ac:dyDescent="0.35">
      <c r="A83" s="63" t="s">
        <v>51</v>
      </c>
      <c r="B83" s="67">
        <f>B81-B82</f>
        <v>98.8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9" customFormat="1" ht="27" customHeight="1" thickBot="1" x14ac:dyDescent="0.45">
      <c r="A84" s="63" t="s">
        <v>52</v>
      </c>
      <c r="B84" s="70">
        <v>154.46</v>
      </c>
      <c r="C84" s="283" t="s">
        <v>111</v>
      </c>
      <c r="D84" s="284"/>
      <c r="E84" s="284"/>
      <c r="F84" s="284"/>
      <c r="G84" s="284"/>
      <c r="H84" s="285"/>
      <c r="I84" s="66"/>
      <c r="J84" s="66"/>
      <c r="K84" s="66"/>
      <c r="L84" s="66"/>
    </row>
    <row r="85" spans="1:12" s="49" customFormat="1" ht="27" customHeight="1" thickBot="1" x14ac:dyDescent="0.45">
      <c r="A85" s="63" t="s">
        <v>54</v>
      </c>
      <c r="B85" s="70">
        <v>165.23</v>
      </c>
      <c r="C85" s="283" t="s">
        <v>112</v>
      </c>
      <c r="D85" s="284"/>
      <c r="E85" s="284"/>
      <c r="F85" s="284"/>
      <c r="G85" s="284"/>
      <c r="H85" s="285"/>
      <c r="I85" s="66"/>
      <c r="J85" s="66"/>
      <c r="K85" s="66"/>
      <c r="L85" s="66"/>
    </row>
    <row r="86" spans="1:12" s="49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9" customFormat="1" ht="18.75" x14ac:dyDescent="0.3">
      <c r="A87" s="63" t="s">
        <v>56</v>
      </c>
      <c r="B87" s="75">
        <f>B84/B85</f>
        <v>0.93481813230042976</v>
      </c>
      <c r="C87" s="52" t="s">
        <v>57</v>
      </c>
      <c r="D87" s="52"/>
      <c r="E87" s="52"/>
      <c r="F87" s="52"/>
      <c r="G87" s="52"/>
      <c r="I87" s="66"/>
      <c r="J87" s="66"/>
      <c r="K87" s="66"/>
      <c r="L87" s="66"/>
    </row>
    <row r="88" spans="1:12" ht="19.5" customHeight="1" thickBot="1" x14ac:dyDescent="0.35">
      <c r="A88" s="61"/>
      <c r="B88" s="61"/>
    </row>
    <row r="89" spans="1:12" ht="27" customHeight="1" thickBot="1" x14ac:dyDescent="0.45">
      <c r="A89" s="76" t="s">
        <v>58</v>
      </c>
      <c r="B89" s="77">
        <v>25</v>
      </c>
      <c r="D89" s="159" t="s">
        <v>59</v>
      </c>
      <c r="E89" s="160"/>
      <c r="F89" s="270" t="s">
        <v>60</v>
      </c>
      <c r="G89" s="271"/>
    </row>
    <row r="90" spans="1:12" ht="27" customHeight="1" thickBot="1" x14ac:dyDescent="0.45">
      <c r="A90" s="78" t="s">
        <v>61</v>
      </c>
      <c r="B90" s="79">
        <v>10</v>
      </c>
      <c r="C90" s="161" t="s">
        <v>62</v>
      </c>
      <c r="D90" s="81" t="s">
        <v>63</v>
      </c>
      <c r="E90" s="82" t="s">
        <v>64</v>
      </c>
      <c r="F90" s="81" t="s">
        <v>63</v>
      </c>
      <c r="G90" s="162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20</v>
      </c>
      <c r="C91" s="163">
        <v>1</v>
      </c>
      <c r="D91" s="86">
        <v>73424721</v>
      </c>
      <c r="E91" s="87">
        <f>IF(ISBLANK(D91),"-",$D$101/$D$98*D91)</f>
        <v>79129102.424045369</v>
      </c>
      <c r="F91" s="86">
        <v>68856923</v>
      </c>
      <c r="G91" s="88">
        <f>IF(ISBLANK(F91),"-",$D$101/$F$98*F91)</f>
        <v>78311689.026157707</v>
      </c>
      <c r="I91" s="89"/>
    </row>
    <row r="92" spans="1:12" ht="26.25" customHeight="1" x14ac:dyDescent="0.4">
      <c r="A92" s="78" t="s">
        <v>67</v>
      </c>
      <c r="B92" s="79">
        <v>1</v>
      </c>
      <c r="C92" s="107">
        <v>2</v>
      </c>
      <c r="D92" s="91">
        <v>73212740</v>
      </c>
      <c r="E92" s="92">
        <f>IF(ISBLANK(D92),"-",$D$101/$D$98*D92)</f>
        <v>78900652.577283934</v>
      </c>
      <c r="F92" s="91">
        <v>68859152</v>
      </c>
      <c r="G92" s="93">
        <f>IF(ISBLANK(F92),"-",$D$101/$F$98*F92)</f>
        <v>78314224.09085758</v>
      </c>
      <c r="I92" s="261">
        <f>ABS((F96/D96*D95)-F95)/D95</f>
        <v>1.0496072569253875E-2</v>
      </c>
    </row>
    <row r="93" spans="1:12" ht="26.25" customHeight="1" x14ac:dyDescent="0.4">
      <c r="A93" s="78" t="s">
        <v>68</v>
      </c>
      <c r="B93" s="79">
        <v>1</v>
      </c>
      <c r="C93" s="107">
        <v>3</v>
      </c>
      <c r="D93" s="91">
        <v>73568097</v>
      </c>
      <c r="E93" s="92">
        <f>IF(ISBLANK(D93),"-",$D$101/$D$98*D93)</f>
        <v>79283617.334481999</v>
      </c>
      <c r="F93" s="91">
        <v>68634567</v>
      </c>
      <c r="G93" s="93">
        <f>IF(ISBLANK(F93),"-",$D$101/$F$98*F93)</f>
        <v>78058801.252983466</v>
      </c>
      <c r="I93" s="261"/>
    </row>
    <row r="94" spans="1:12" ht="27" customHeight="1" thickBot="1" x14ac:dyDescent="0.45">
      <c r="A94" s="78" t="s">
        <v>69</v>
      </c>
      <c r="B94" s="79">
        <v>1</v>
      </c>
      <c r="C94" s="164">
        <v>4</v>
      </c>
      <c r="D94" s="95"/>
      <c r="E94" s="96" t="str">
        <f>IF(ISBLANK(D94),"-",$D$101/$D$98*D94)</f>
        <v>-</v>
      </c>
      <c r="F94" s="165"/>
      <c r="G94" s="97" t="str">
        <f>IF(ISBLANK(F94),"-",$D$101/$F$98*F94)</f>
        <v>-</v>
      </c>
      <c r="I94" s="98"/>
    </row>
    <row r="95" spans="1:12" ht="27" customHeight="1" thickBot="1" x14ac:dyDescent="0.45">
      <c r="A95" s="78" t="s">
        <v>70</v>
      </c>
      <c r="B95" s="79">
        <v>1</v>
      </c>
      <c r="C95" s="63" t="s">
        <v>71</v>
      </c>
      <c r="D95" s="166">
        <f>AVERAGE(D91:D94)</f>
        <v>73401852.666666672</v>
      </c>
      <c r="E95" s="101">
        <f>AVERAGE(E91:E94)</f>
        <v>79104457.445270434</v>
      </c>
      <c r="F95" s="167">
        <f>AVERAGE(F91:F94)</f>
        <v>68783547.333333328</v>
      </c>
      <c r="G95" s="168">
        <f>AVERAGE(G91:G94)</f>
        <v>78228238.123332918</v>
      </c>
    </row>
    <row r="96" spans="1:12" ht="26.25" customHeight="1" x14ac:dyDescent="0.4">
      <c r="A96" s="78" t="s">
        <v>72</v>
      </c>
      <c r="B96" s="64">
        <v>1</v>
      </c>
      <c r="C96" s="169" t="s">
        <v>113</v>
      </c>
      <c r="D96" s="170">
        <v>15.07</v>
      </c>
      <c r="E96" s="52"/>
      <c r="F96" s="104">
        <v>14.28</v>
      </c>
    </row>
    <row r="97" spans="1:10" ht="26.25" customHeight="1" x14ac:dyDescent="0.4">
      <c r="A97" s="78" t="s">
        <v>74</v>
      </c>
      <c r="B97" s="64">
        <v>1</v>
      </c>
      <c r="C97" s="171" t="s">
        <v>114</v>
      </c>
      <c r="D97" s="172">
        <f>D96*$B$87</f>
        <v>14.087709253767477</v>
      </c>
      <c r="E97" s="107"/>
      <c r="F97" s="106">
        <f>F96*$B$87</f>
        <v>13.349202929250136</v>
      </c>
    </row>
    <row r="98" spans="1:10" ht="19.5" customHeight="1" thickBot="1" x14ac:dyDescent="0.35">
      <c r="A98" s="78" t="s">
        <v>76</v>
      </c>
      <c r="B98" s="107">
        <f>(B97/B96)*(B95/B94)*(B93/B92)*(B91/B90)*B89</f>
        <v>50</v>
      </c>
      <c r="C98" s="171" t="s">
        <v>115</v>
      </c>
      <c r="D98" s="173">
        <f>D97*$B$83/100</f>
        <v>13.918656742722266</v>
      </c>
      <c r="E98" s="109"/>
      <c r="F98" s="108">
        <f>F97*$B$83/100</f>
        <v>13.189012494099133</v>
      </c>
    </row>
    <row r="99" spans="1:10" ht="19.5" customHeight="1" thickBot="1" x14ac:dyDescent="0.35">
      <c r="A99" s="262" t="s">
        <v>78</v>
      </c>
      <c r="B99" s="263"/>
      <c r="C99" s="171" t="s">
        <v>116</v>
      </c>
      <c r="D99" s="174">
        <f>D98/$B$98</f>
        <v>0.27837313485444531</v>
      </c>
      <c r="E99" s="109"/>
      <c r="F99" s="112">
        <f>F98/$B$98</f>
        <v>0.26378024988198268</v>
      </c>
      <c r="H99" s="50"/>
    </row>
    <row r="100" spans="1:10" ht="19.5" customHeight="1" thickBot="1" x14ac:dyDescent="0.35">
      <c r="A100" s="264"/>
      <c r="B100" s="265"/>
      <c r="C100" s="171" t="s">
        <v>80</v>
      </c>
      <c r="D100" s="175">
        <f>$B$56/$B$116</f>
        <v>0.3</v>
      </c>
      <c r="F100" s="117"/>
      <c r="G100" s="176"/>
      <c r="H100" s="50"/>
    </row>
    <row r="101" spans="1:10" ht="18.75" x14ac:dyDescent="0.3">
      <c r="C101" s="171" t="s">
        <v>81</v>
      </c>
      <c r="D101" s="172">
        <f>D100*$B$98</f>
        <v>15</v>
      </c>
      <c r="F101" s="117"/>
      <c r="H101" s="50"/>
    </row>
    <row r="102" spans="1:10" ht="19.5" customHeight="1" thickBot="1" x14ac:dyDescent="0.35">
      <c r="C102" s="177" t="s">
        <v>82</v>
      </c>
      <c r="D102" s="178">
        <f>D101/B34</f>
        <v>15</v>
      </c>
      <c r="F102" s="121"/>
      <c r="H102" s="50"/>
      <c r="J102" s="179"/>
    </row>
    <row r="103" spans="1:10" ht="18.75" x14ac:dyDescent="0.3">
      <c r="C103" s="180" t="s">
        <v>117</v>
      </c>
      <c r="D103" s="181">
        <f>AVERAGE(E91:E94,G91:G94)</f>
        <v>78666347.784301668</v>
      </c>
      <c r="F103" s="121"/>
      <c r="G103" s="176"/>
      <c r="H103" s="50"/>
      <c r="J103" s="182"/>
    </row>
    <row r="104" spans="1:10" ht="18.75" x14ac:dyDescent="0.3">
      <c r="C104" s="154" t="s">
        <v>84</v>
      </c>
      <c r="D104" s="183">
        <f>STDEV(E91:E94,G91:G94)/D103</f>
        <v>6.4039524022750632E-3</v>
      </c>
      <c r="F104" s="121"/>
      <c r="H104" s="50"/>
      <c r="J104" s="182"/>
    </row>
    <row r="105" spans="1:10" ht="19.5" customHeight="1" thickBot="1" x14ac:dyDescent="0.35">
      <c r="C105" s="156" t="s">
        <v>20</v>
      </c>
      <c r="D105" s="184">
        <f>COUNT(E91:E94,G91:G94)</f>
        <v>6</v>
      </c>
      <c r="F105" s="121"/>
      <c r="H105" s="50"/>
      <c r="J105" s="182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6" t="s">
        <v>118</v>
      </c>
      <c r="B107" s="77">
        <v>1000</v>
      </c>
      <c r="C107" s="159" t="s">
        <v>119</v>
      </c>
      <c r="D107" s="185" t="s">
        <v>63</v>
      </c>
      <c r="E107" s="186" t="s">
        <v>120</v>
      </c>
      <c r="F107" s="187" t="s">
        <v>121</v>
      </c>
    </row>
    <row r="108" spans="1:10" ht="26.25" customHeight="1" x14ac:dyDescent="0.4">
      <c r="A108" s="78" t="s">
        <v>122</v>
      </c>
      <c r="B108" s="79">
        <v>1</v>
      </c>
      <c r="C108" s="188">
        <v>1</v>
      </c>
      <c r="D108" s="189">
        <v>76040090</v>
      </c>
      <c r="E108" s="190">
        <f t="shared" ref="E108:E113" si="1">IF(ISBLANK(D108),"-",D108/$D$103*$D$100*$B$116)</f>
        <v>289.98456954616967</v>
      </c>
      <c r="F108" s="191">
        <f t="shared" ref="F108:F113" si="2">IF(ISBLANK(D108), "-", E108/$B$56)</f>
        <v>0.96661523182056552</v>
      </c>
    </row>
    <row r="109" spans="1:10" ht="26.25" customHeight="1" x14ac:dyDescent="0.4">
      <c r="A109" s="78" t="s">
        <v>95</v>
      </c>
      <c r="B109" s="79">
        <v>1</v>
      </c>
      <c r="C109" s="188">
        <v>2</v>
      </c>
      <c r="D109" s="189">
        <v>76261007</v>
      </c>
      <c r="E109" s="192">
        <f t="shared" si="1"/>
        <v>290.82705304599767</v>
      </c>
      <c r="F109" s="193">
        <f t="shared" si="2"/>
        <v>0.96942351015332562</v>
      </c>
    </row>
    <row r="110" spans="1:10" ht="26.25" customHeight="1" x14ac:dyDescent="0.4">
      <c r="A110" s="78" t="s">
        <v>96</v>
      </c>
      <c r="B110" s="79">
        <v>1</v>
      </c>
      <c r="C110" s="188">
        <v>3</v>
      </c>
      <c r="D110" s="189">
        <v>76235613</v>
      </c>
      <c r="E110" s="192">
        <f t="shared" si="1"/>
        <v>290.73021112801649</v>
      </c>
      <c r="F110" s="193">
        <f t="shared" si="2"/>
        <v>0.96910070376005497</v>
      </c>
    </row>
    <row r="111" spans="1:10" ht="26.25" customHeight="1" x14ac:dyDescent="0.4">
      <c r="A111" s="78" t="s">
        <v>97</v>
      </c>
      <c r="B111" s="79">
        <v>1</v>
      </c>
      <c r="C111" s="188">
        <v>4</v>
      </c>
      <c r="D111" s="189">
        <v>76261843</v>
      </c>
      <c r="E111" s="192">
        <f t="shared" si="1"/>
        <v>290.83024119451426</v>
      </c>
      <c r="F111" s="193">
        <f t="shared" si="2"/>
        <v>0.96943413731504757</v>
      </c>
    </row>
    <row r="112" spans="1:10" ht="26.25" customHeight="1" x14ac:dyDescent="0.4">
      <c r="A112" s="78" t="s">
        <v>98</v>
      </c>
      <c r="B112" s="79">
        <v>1</v>
      </c>
      <c r="C112" s="188">
        <v>5</v>
      </c>
      <c r="D112" s="189">
        <v>76487809</v>
      </c>
      <c r="E112" s="192">
        <f t="shared" si="1"/>
        <v>291.69197943340998</v>
      </c>
      <c r="F112" s="193">
        <f t="shared" si="2"/>
        <v>0.97230659811136666</v>
      </c>
    </row>
    <row r="113" spans="1:10" ht="26.25" customHeight="1" x14ac:dyDescent="0.4">
      <c r="A113" s="78" t="s">
        <v>100</v>
      </c>
      <c r="B113" s="79">
        <v>1</v>
      </c>
      <c r="C113" s="194">
        <v>6</v>
      </c>
      <c r="D113" s="195">
        <v>76370472</v>
      </c>
      <c r="E113" s="196">
        <f t="shared" si="1"/>
        <v>291.24450600936694</v>
      </c>
      <c r="F113" s="197">
        <f t="shared" si="2"/>
        <v>0.97081502003122311</v>
      </c>
    </row>
    <row r="114" spans="1:10" ht="26.25" customHeight="1" x14ac:dyDescent="0.4">
      <c r="A114" s="78" t="s">
        <v>101</v>
      </c>
      <c r="B114" s="79">
        <v>1</v>
      </c>
      <c r="C114" s="188"/>
      <c r="D114" s="107"/>
      <c r="E114" s="52"/>
      <c r="F114" s="198"/>
    </row>
    <row r="115" spans="1:10" ht="26.25" customHeight="1" x14ac:dyDescent="0.4">
      <c r="A115" s="78" t="s">
        <v>102</v>
      </c>
      <c r="B115" s="79">
        <v>1</v>
      </c>
      <c r="C115" s="188"/>
      <c r="D115" s="199" t="s">
        <v>71</v>
      </c>
      <c r="E115" s="200">
        <f>AVERAGE(E108:E113)</f>
        <v>290.88476005957915</v>
      </c>
      <c r="F115" s="201">
        <f>AVERAGE(F108:F113)</f>
        <v>0.9696158668652638</v>
      </c>
    </row>
    <row r="116" spans="1:10" ht="27" customHeight="1" thickBot="1" x14ac:dyDescent="0.45">
      <c r="A116" s="78" t="s">
        <v>103</v>
      </c>
      <c r="B116" s="90">
        <f>(B115/B114)*(B113/B112)*(B111/B110)*(B109/B108)*B107</f>
        <v>1000</v>
      </c>
      <c r="C116" s="202"/>
      <c r="D116" s="63" t="s">
        <v>84</v>
      </c>
      <c r="E116" s="203">
        <f>STDEV(E108:E113)/E115</f>
        <v>1.9577594826968498E-3</v>
      </c>
      <c r="F116" s="203">
        <f>STDEV(F108:F113)/F115</f>
        <v>1.9577594826968676E-3</v>
      </c>
      <c r="I116" s="52"/>
    </row>
    <row r="117" spans="1:10" ht="27" customHeight="1" thickBot="1" x14ac:dyDescent="0.45">
      <c r="A117" s="262" t="s">
        <v>78</v>
      </c>
      <c r="B117" s="266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52"/>
      <c r="J117" s="182"/>
    </row>
    <row r="118" spans="1:10" ht="19.5" customHeight="1" thickBot="1" x14ac:dyDescent="0.35">
      <c r="A118" s="264"/>
      <c r="B118" s="267"/>
      <c r="C118" s="52"/>
      <c r="D118" s="52"/>
      <c r="E118" s="52"/>
      <c r="F118" s="107"/>
      <c r="G118" s="52"/>
      <c r="H118" s="52"/>
      <c r="I118" s="52"/>
    </row>
    <row r="119" spans="1:10" ht="18.75" x14ac:dyDescent="0.3">
      <c r="A119" s="207"/>
      <c r="B119" s="74"/>
      <c r="C119" s="52"/>
      <c r="D119" s="52"/>
      <c r="E119" s="52"/>
      <c r="F119" s="107"/>
      <c r="G119" s="52"/>
      <c r="H119" s="52"/>
      <c r="I119" s="52"/>
    </row>
    <row r="120" spans="1:10" ht="26.25" customHeight="1" x14ac:dyDescent="0.4">
      <c r="A120" s="62" t="s">
        <v>106</v>
      </c>
      <c r="B120" s="63" t="s">
        <v>123</v>
      </c>
      <c r="C120" s="268" t="str">
        <f>B20</f>
        <v xml:space="preserve">Tenofovir Disoproxil Fumarate 300mg, Lamivudine 300mg &amp; Efavirenz 600mg </v>
      </c>
      <c r="D120" s="268"/>
      <c r="E120" s="52" t="s">
        <v>124</v>
      </c>
      <c r="F120" s="52"/>
      <c r="G120" s="158">
        <f>F115</f>
        <v>0.9696158668652638</v>
      </c>
      <c r="H120" s="52"/>
      <c r="I120" s="52"/>
    </row>
    <row r="121" spans="1:10" ht="19.5" customHeight="1" thickBot="1" x14ac:dyDescent="0.35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269" t="s">
        <v>26</v>
      </c>
      <c r="C122" s="269"/>
      <c r="E122" s="161" t="s">
        <v>27</v>
      </c>
      <c r="F122" s="210"/>
      <c r="G122" s="269" t="s">
        <v>28</v>
      </c>
      <c r="H122" s="269"/>
    </row>
    <row r="123" spans="1:10" ht="69.95" customHeight="1" x14ac:dyDescent="0.3">
      <c r="A123" s="62" t="s">
        <v>29</v>
      </c>
      <c r="B123" s="211"/>
      <c r="C123" s="211"/>
      <c r="E123" s="211"/>
      <c r="F123" s="52"/>
      <c r="G123" s="211"/>
      <c r="H123" s="211"/>
    </row>
    <row r="124" spans="1:10" ht="69.95" customHeight="1" x14ac:dyDescent="0.3">
      <c r="A124" s="62" t="s">
        <v>30</v>
      </c>
      <c r="B124" s="212"/>
      <c r="C124" s="212"/>
      <c r="E124" s="212"/>
      <c r="F124" s="52"/>
      <c r="G124" s="213"/>
      <c r="H124" s="213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52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52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52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52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52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52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52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52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52"/>
    </row>
    <row r="250" spans="1:1" x14ac:dyDescent="0.25">
      <c r="A250" s="48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F41" sqref="F4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31</v>
      </c>
      <c r="B11" s="304"/>
      <c r="C11" s="304"/>
      <c r="D11" s="304"/>
      <c r="E11" s="304"/>
      <c r="F11" s="305"/>
      <c r="G11" s="41"/>
    </row>
    <row r="12" spans="1:7" ht="16.5" customHeight="1" x14ac:dyDescent="0.3">
      <c r="A12" s="302" t="s">
        <v>32</v>
      </c>
      <c r="B12" s="302"/>
      <c r="C12" s="302"/>
      <c r="D12" s="302"/>
      <c r="E12" s="302"/>
      <c r="F12" s="302"/>
      <c r="G12" s="40"/>
    </row>
    <row r="14" spans="1:7" ht="16.5" customHeight="1" x14ac:dyDescent="0.3">
      <c r="A14" s="307" t="s">
        <v>33</v>
      </c>
      <c r="B14" s="307"/>
      <c r="C14" s="10" t="s">
        <v>5</v>
      </c>
    </row>
    <row r="15" spans="1:7" ht="16.5" customHeight="1" x14ac:dyDescent="0.3">
      <c r="A15" s="307" t="s">
        <v>34</v>
      </c>
      <c r="B15" s="307"/>
      <c r="C15" s="10" t="s">
        <v>7</v>
      </c>
    </row>
    <row r="16" spans="1:7" ht="16.5" customHeight="1" x14ac:dyDescent="0.3">
      <c r="A16" s="307" t="s">
        <v>35</v>
      </c>
      <c r="B16" s="307"/>
      <c r="C16" s="10" t="s">
        <v>9</v>
      </c>
    </row>
    <row r="17" spans="1:5" ht="16.5" customHeight="1" x14ac:dyDescent="0.3">
      <c r="A17" s="307" t="s">
        <v>36</v>
      </c>
      <c r="B17" s="307"/>
      <c r="C17" s="10" t="s">
        <v>11</v>
      </c>
    </row>
    <row r="18" spans="1:5" ht="16.5" customHeight="1" x14ac:dyDescent="0.3">
      <c r="A18" s="307" t="s">
        <v>37</v>
      </c>
      <c r="B18" s="307"/>
      <c r="C18" s="47" t="s">
        <v>12</v>
      </c>
    </row>
    <row r="19" spans="1:5" ht="16.5" customHeight="1" x14ac:dyDescent="0.3">
      <c r="A19" s="307" t="s">
        <v>38</v>
      </c>
      <c r="B19" s="30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02" t="s">
        <v>1</v>
      </c>
      <c r="B21" s="302"/>
      <c r="C21" s="9" t="s">
        <v>39</v>
      </c>
      <c r="D21" s="16"/>
    </row>
    <row r="22" spans="1:5" ht="15.75" customHeight="1" x14ac:dyDescent="0.3">
      <c r="A22" s="306"/>
      <c r="B22" s="306"/>
      <c r="C22" s="7"/>
      <c r="D22" s="306"/>
      <c r="E22" s="30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1906.72</v>
      </c>
      <c r="D24" s="37">
        <f t="shared" ref="D24:D43" si="0">(C24-$C$46)/$C$46</f>
        <v>4.9861379041353359E-3</v>
      </c>
      <c r="E24" s="3"/>
    </row>
    <row r="25" spans="1:5" ht="15.75" customHeight="1" x14ac:dyDescent="0.3">
      <c r="C25" s="45">
        <v>1885.11</v>
      </c>
      <c r="D25" s="38">
        <f t="shared" si="0"/>
        <v>-6.4039720438950473E-3</v>
      </c>
      <c r="E25" s="3"/>
    </row>
    <row r="26" spans="1:5" ht="15.75" customHeight="1" x14ac:dyDescent="0.3">
      <c r="C26" s="45">
        <v>1884.31</v>
      </c>
      <c r="D26" s="38">
        <f t="shared" si="0"/>
        <v>-6.8256327546041507E-3</v>
      </c>
      <c r="E26" s="3"/>
    </row>
    <row r="27" spans="1:5" ht="15.75" customHeight="1" x14ac:dyDescent="0.3">
      <c r="C27" s="45">
        <v>1929.26</v>
      </c>
      <c r="D27" s="38">
        <f t="shared" si="0"/>
        <v>1.6866428428364996E-2</v>
      </c>
      <c r="E27" s="3"/>
    </row>
    <row r="28" spans="1:5" ht="15.75" customHeight="1" x14ac:dyDescent="0.3">
      <c r="C28" s="45">
        <v>1892.05</v>
      </c>
      <c r="D28" s="38">
        <f t="shared" si="0"/>
        <v>-2.7460653784933341E-3</v>
      </c>
      <c r="E28" s="3"/>
    </row>
    <row r="29" spans="1:5" ht="15.75" customHeight="1" x14ac:dyDescent="0.3">
      <c r="C29" s="45">
        <v>1937.26</v>
      </c>
      <c r="D29" s="38">
        <f t="shared" si="0"/>
        <v>2.1083035535456273E-2</v>
      </c>
      <c r="E29" s="3"/>
    </row>
    <row r="30" spans="1:5" ht="15.75" customHeight="1" x14ac:dyDescent="0.3">
      <c r="C30" s="45">
        <v>1911.13</v>
      </c>
      <c r="D30" s="38">
        <f t="shared" si="0"/>
        <v>7.3105425719194464E-3</v>
      </c>
      <c r="E30" s="3"/>
    </row>
    <row r="31" spans="1:5" ht="15.75" customHeight="1" x14ac:dyDescent="0.3">
      <c r="C31" s="45">
        <v>1906.91</v>
      </c>
      <c r="D31" s="38">
        <f t="shared" si="0"/>
        <v>5.0862823229287828E-3</v>
      </c>
      <c r="E31" s="3"/>
    </row>
    <row r="32" spans="1:5" ht="15.75" customHeight="1" x14ac:dyDescent="0.3">
      <c r="C32" s="45">
        <v>1870.99</v>
      </c>
      <c r="D32" s="38">
        <f t="shared" si="0"/>
        <v>-1.3846283587911096E-2</v>
      </c>
      <c r="E32" s="3"/>
    </row>
    <row r="33" spans="1:7" ht="15.75" customHeight="1" x14ac:dyDescent="0.3">
      <c r="C33" s="45">
        <v>1923.75</v>
      </c>
      <c r="D33" s="38">
        <f t="shared" si="0"/>
        <v>1.3962240283355881E-2</v>
      </c>
      <c r="E33" s="3"/>
    </row>
    <row r="34" spans="1:7" ht="15.75" customHeight="1" x14ac:dyDescent="0.3">
      <c r="C34" s="45">
        <v>1893.2</v>
      </c>
      <c r="D34" s="38">
        <f t="shared" si="0"/>
        <v>-2.1399281068489148E-3</v>
      </c>
      <c r="E34" s="3"/>
    </row>
    <row r="35" spans="1:7" ht="15.75" customHeight="1" x14ac:dyDescent="0.3">
      <c r="C35" s="45">
        <v>1926.69</v>
      </c>
      <c r="D35" s="38">
        <f t="shared" si="0"/>
        <v>1.5511843395211954E-2</v>
      </c>
      <c r="E35" s="3"/>
    </row>
    <row r="36" spans="1:7" ht="15.75" customHeight="1" x14ac:dyDescent="0.3">
      <c r="C36" s="45">
        <v>1896.31</v>
      </c>
      <c r="D36" s="38">
        <f t="shared" si="0"/>
        <v>-5.0072209396723319E-4</v>
      </c>
      <c r="E36" s="3"/>
    </row>
    <row r="37" spans="1:7" ht="15.75" customHeight="1" x14ac:dyDescent="0.3">
      <c r="C37" s="45">
        <v>1853.58</v>
      </c>
      <c r="D37" s="38">
        <f t="shared" si="0"/>
        <v>-2.3022674804718535E-2</v>
      </c>
      <c r="E37" s="3"/>
    </row>
    <row r="38" spans="1:7" ht="15.75" customHeight="1" x14ac:dyDescent="0.3">
      <c r="C38" s="45">
        <v>1897.63</v>
      </c>
      <c r="D38" s="38">
        <f t="shared" si="0"/>
        <v>1.9501807870291409E-4</v>
      </c>
      <c r="E38" s="3"/>
    </row>
    <row r="39" spans="1:7" ht="15.75" customHeight="1" x14ac:dyDescent="0.3">
      <c r="C39" s="45">
        <v>1879.29</v>
      </c>
      <c r="D39" s="38">
        <f t="shared" si="0"/>
        <v>-9.4715537143039187E-3</v>
      </c>
      <c r="E39" s="3"/>
    </row>
    <row r="40" spans="1:7" ht="15.75" customHeight="1" x14ac:dyDescent="0.3">
      <c r="C40" s="45">
        <v>1851.93</v>
      </c>
      <c r="D40" s="38">
        <f t="shared" si="0"/>
        <v>-2.3892350020556039E-2</v>
      </c>
      <c r="E40" s="3"/>
    </row>
    <row r="41" spans="1:7" ht="15.75" customHeight="1" x14ac:dyDescent="0.3">
      <c r="C41" s="45">
        <v>1866.72</v>
      </c>
      <c r="D41" s="38">
        <f t="shared" si="0"/>
        <v>-1.6096897631321057E-2</v>
      </c>
      <c r="E41" s="3"/>
    </row>
    <row r="42" spans="1:7" ht="15.75" customHeight="1" x14ac:dyDescent="0.3">
      <c r="C42" s="45">
        <v>1914.43</v>
      </c>
      <c r="D42" s="38">
        <f t="shared" si="0"/>
        <v>9.0498930035945759E-3</v>
      </c>
      <c r="E42" s="3"/>
    </row>
    <row r="43" spans="1:7" ht="16.5" customHeight="1" x14ac:dyDescent="0.3">
      <c r="C43" s="46">
        <v>1917.93</v>
      </c>
      <c r="D43" s="39">
        <f t="shared" si="0"/>
        <v>1.0894658612947009E-2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37945.200000000004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1897.2600000000002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300">
        <f>C46</f>
        <v>1897.2600000000002</v>
      </c>
      <c r="C49" s="43">
        <f>-IF(C46&lt;=80,10%,IF(C46&lt;250,7.5%,5%))</f>
        <v>-0.05</v>
      </c>
      <c r="D49" s="31">
        <f>IF(C46&lt;=80,C46*0.9,IF(C46&lt;250,C46*0.925,C46*0.95))</f>
        <v>1802.3970000000002</v>
      </c>
    </row>
    <row r="50" spans="1:6" ht="17.25" customHeight="1" x14ac:dyDescent="0.3">
      <c r="B50" s="301"/>
      <c r="C50" s="44">
        <f>IF(C46&lt;=80, 10%, IF(C46&lt;250, 7.5%, 5%))</f>
        <v>0.05</v>
      </c>
      <c r="D50" s="31">
        <f>IF(C46&lt;=80, C46*1.1, IF(C46&lt;250, C46*1.075, C46*1.05))</f>
        <v>1992.1230000000003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</vt:lpstr>
      <vt:lpstr>SST TDF</vt:lpstr>
      <vt:lpstr>SST Efav</vt:lpstr>
      <vt:lpstr>Lamivudine (2)</vt:lpstr>
      <vt:lpstr>EFFAVIRENZ</vt:lpstr>
      <vt:lpstr>Tenofovir Disoproxil Fumara (2</vt:lpstr>
      <vt:lpstr>Uniformity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2016-09-22T11:38:37Z</cp:lastPrinted>
  <dcterms:created xsi:type="dcterms:W3CDTF">2005-07-05T10:19:27Z</dcterms:created>
  <dcterms:modified xsi:type="dcterms:W3CDTF">2016-09-22T13:57:39Z</dcterms:modified>
  <cp:category/>
</cp:coreProperties>
</file>