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480" yWindow="495" windowWidth="20775" windowHeight="9405" activeTab="1"/>
  </bookViews>
  <sheets>
    <sheet name="Uniformity" sheetId="2" r:id="rId1"/>
    <sheet name="SST" sheetId="1" r:id="rId2"/>
    <sheet name="Nevirapine" sheetId="3" r:id="rId3"/>
  </sheets>
  <definedNames>
    <definedName name="_xlnm.Print_Area" localSheetId="2">Nevirapine!$A$1:$H$126</definedName>
    <definedName name="_xlnm.Print_Area" localSheetId="1">SST!$A$1:$G$43</definedName>
    <definedName name="_xlnm.Print_Area" localSheetId="0">Uniformity!$A$1:$F$54</definedName>
  </definedNames>
  <calcPr calcId="124519"/>
</workbook>
</file>

<file path=xl/calcChain.xml><?xml version="1.0" encoding="utf-8"?>
<calcChain xmlns="http://schemas.openxmlformats.org/spreadsheetml/2006/main">
  <c r="B21" i="1"/>
  <c r="F96" i="3" l="1"/>
  <c r="D96"/>
  <c r="C120"/>
  <c r="B116"/>
  <c r="D100" s="1"/>
  <c r="B98"/>
  <c r="F95"/>
  <c r="D95"/>
  <c r="B87"/>
  <c r="B81"/>
  <c r="B83" s="1"/>
  <c r="B80"/>
  <c r="B79"/>
  <c r="C76"/>
  <c r="B68"/>
  <c r="B57"/>
  <c r="C56"/>
  <c r="B55"/>
  <c r="B45"/>
  <c r="D48" s="1"/>
  <c r="F42"/>
  <c r="D42"/>
  <c r="B34"/>
  <c r="B30"/>
  <c r="D50" i="2"/>
  <c r="C50"/>
  <c r="D49"/>
  <c r="C49"/>
  <c r="B49"/>
  <c r="C46"/>
  <c r="C45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C19"/>
  <c r="B32" i="1"/>
  <c r="E30"/>
  <c r="D30"/>
  <c r="C30"/>
  <c r="B30"/>
  <c r="B31" s="1"/>
  <c r="D101" i="3" l="1"/>
  <c r="D102" s="1"/>
  <c r="I39"/>
  <c r="I92"/>
  <c r="D97"/>
  <c r="D98" s="1"/>
  <c r="F97"/>
  <c r="F98" s="1"/>
  <c r="D49"/>
  <c r="F44"/>
  <c r="F45" s="1"/>
  <c r="D44"/>
  <c r="D45"/>
  <c r="B69"/>
  <c r="G41" l="1"/>
  <c r="G40"/>
  <c r="G38"/>
  <c r="F46"/>
  <c r="G39"/>
  <c r="E40"/>
  <c r="D46"/>
  <c r="E39"/>
  <c r="E38"/>
  <c r="E41"/>
  <c r="E94"/>
  <c r="D99"/>
  <c r="E92"/>
  <c r="E91"/>
  <c r="E93"/>
  <c r="F99"/>
  <c r="G92"/>
  <c r="G94"/>
  <c r="G91"/>
  <c r="G93"/>
  <c r="G42" l="1"/>
  <c r="G95"/>
  <c r="D103"/>
  <c r="D105"/>
  <c r="E95"/>
  <c r="E42"/>
  <c r="D52"/>
  <c r="D50"/>
  <c r="E113" l="1"/>
  <c r="F113" s="1"/>
  <c r="E109"/>
  <c r="F109" s="1"/>
  <c r="E112"/>
  <c r="F112" s="1"/>
  <c r="E110"/>
  <c r="F110" s="1"/>
  <c r="E108"/>
  <c r="E111"/>
  <c r="F111" s="1"/>
  <c r="D104"/>
  <c r="G68"/>
  <c r="H68" s="1"/>
  <c r="G69"/>
  <c r="H69" s="1"/>
  <c r="G62"/>
  <c r="H62" s="1"/>
  <c r="D51"/>
  <c r="G71"/>
  <c r="H71" s="1"/>
  <c r="G64"/>
  <c r="H64" s="1"/>
  <c r="G60"/>
  <c r="G66"/>
  <c r="H66" s="1"/>
  <c r="G67"/>
  <c r="H67" s="1"/>
  <c r="G70"/>
  <c r="H70" s="1"/>
  <c r="G65"/>
  <c r="H65" s="1"/>
  <c r="G63"/>
  <c r="H63" s="1"/>
  <c r="G61"/>
  <c r="H61" s="1"/>
  <c r="H60" l="1"/>
  <c r="G72"/>
  <c r="G73" s="1"/>
  <c r="G74"/>
  <c r="E117"/>
  <c r="F108"/>
  <c r="E115"/>
  <c r="E116" s="1"/>
  <c r="F115" l="1"/>
  <c r="F117"/>
  <c r="H74"/>
  <c r="H72"/>
  <c r="G76" s="1"/>
  <c r="G120" l="1"/>
  <c r="F116"/>
  <c r="H73"/>
</calcChain>
</file>

<file path=xl/sharedStrings.xml><?xml version="1.0" encoding="utf-8"?>
<sst xmlns="http://schemas.openxmlformats.org/spreadsheetml/2006/main" count="213" uniqueCount="126">
  <si>
    <t>HPLC System Suitability Report</t>
  </si>
  <si>
    <t>Analysis Data</t>
  </si>
  <si>
    <t>Sample(s)</t>
  </si>
  <si>
    <t>Reference Substance:</t>
  </si>
  <si>
    <t>NEVIRAPINE 200MG TABLETS USP</t>
  </si>
  <si>
    <t>% age Purity:</t>
  </si>
  <si>
    <t>NDQB201607023</t>
  </si>
  <si>
    <t>Weight (mg):</t>
  </si>
  <si>
    <t>Nevirapine USP</t>
  </si>
  <si>
    <t>Standard Conc (mg/mL):</t>
  </si>
  <si>
    <t xml:space="preserve">Each Tablet contins Nevirapine USP 200mg </t>
  </si>
  <si>
    <t>2016-07-14 15:17:09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</si>
  <si>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</si>
  <si>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</si>
  <si>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</si>
  <si>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</si>
  <si>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</si>
  <si>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</si>
  <si>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</si>
  <si>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</si>
  <si>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</si>
  <si>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</si>
  <si>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</si>
  <si>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</si>
  <si>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</si>
  <si>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</si>
  <si>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</si>
  <si>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</si>
  <si>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</si>
  <si>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</si>
  <si>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</si>
  <si>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</si>
  <si>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</si>
  <si>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</si>
  <si>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</si>
  <si>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</si>
  <si>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</si>
  <si>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</si>
  <si>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</si>
  <si>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</si>
  <si>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</si>
  <si>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</si>
  <si>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</si>
  <si>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</si>
  <si>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</si>
  <si>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</si>
  <si>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</si>
  <si>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</si>
  <si>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</si>
  <si>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</si>
  <si>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</si>
  <si>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</si>
  <si>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</si>
  <si>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</si>
  <si>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</si>
  <si>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</si>
  <si>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</si>
  <si>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</si>
  <si>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</si>
  <si>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</si>
  <si>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</si>
  <si>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</si>
  <si>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</si>
  <si>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</si>
  <si>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</si>
  <si>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</si>
  <si>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</si>
  <si>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</si>
  <si>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</si>
  <si>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</si>
  <si>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</si>
  <si>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</si>
  <si>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</si>
  <si>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</si>
  <si>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</si>
  <si>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</si>
  <si>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</si>
  <si>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</si>
  <si>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</si>
  <si>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</si>
  <si>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</si>
  <si>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</si>
  <si>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</si>
  <si>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</si>
  <si>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</si>
  <si>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</si>
  <si>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</si>
  <si>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</si>
  <si>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</si>
  <si>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</si>
  <si>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</si>
  <si>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</si>
  <si>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</si>
  <si>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</si>
  <si>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</si>
  <si>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</si>
  <si>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</si>
  <si>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</si>
  <si>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</si>
  <si>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</si>
  <si>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</si>
  <si>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</si>
  <si>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</si>
  <si>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</si>
  <si>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</si>
  <si>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</si>
  <si>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</si>
  <si>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</si>
  <si>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</si>
  <si>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</si>
  <si>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</si>
  <si>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</si>
  <si>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</si>
  <si>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</si>
  <si>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</si>
  <si>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</si>
  <si>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</si>
  <si>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</si>
  <si>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</si>
  <si>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</si>
  <si>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</si>
  <si>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</si>
  <si>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</si>
  <si>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Nevirapine</t>
  </si>
  <si>
    <t>N1-4</t>
  </si>
  <si>
    <t>Assay and Dissolution</t>
  </si>
</sst>
</file>

<file path=xl/styles.xml><?xml version="1.0" encoding="utf-8"?>
<styleSheet xmlns="http://schemas.openxmlformats.org/spreadsheetml/2006/main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6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b/>
      <sz val="12"/>
      <color rgb="FF000000"/>
      <name val="Book Antiqua"/>
      <family val="1"/>
    </font>
    <font>
      <b/>
      <u/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24" fillId="2" borderId="0" xfId="0" applyFont="1" applyFill="1" applyAlignment="1">
      <alignment horizontal="left"/>
    </xf>
    <xf numFmtId="0" fontId="25" fillId="2" borderId="0" xfId="0" applyFont="1" applyFill="1" applyAlignment="1">
      <alignment horizontal="left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0:H54"/>
  <sheetViews>
    <sheetView view="pageBreakPreview" topLeftCell="A31" workbookViewId="0">
      <selection sqref="A1:XFD10"/>
    </sheetView>
  </sheetViews>
  <sheetFormatPr defaultRowHeight="15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/>
    <row r="11" spans="1:7" ht="13.5" customHeight="1">
      <c r="A11" s="285" t="s">
        <v>29</v>
      </c>
      <c r="B11" s="286"/>
      <c r="C11" s="286"/>
      <c r="D11" s="286"/>
      <c r="E11" s="286"/>
      <c r="F11" s="287"/>
      <c r="G11" s="90"/>
    </row>
    <row r="12" spans="1:7" ht="16.5" customHeight="1">
      <c r="A12" s="284" t="s">
        <v>30</v>
      </c>
      <c r="B12" s="284"/>
      <c r="C12" s="284"/>
      <c r="D12" s="284"/>
      <c r="E12" s="284"/>
      <c r="F12" s="284"/>
      <c r="G12" s="89"/>
    </row>
    <row r="14" spans="1:7" ht="16.5" customHeight="1">
      <c r="A14" s="289" t="s">
        <v>31</v>
      </c>
      <c r="B14" s="289"/>
      <c r="C14" s="59" t="s">
        <v>4</v>
      </c>
    </row>
    <row r="15" spans="1:7" ht="16.5" customHeight="1">
      <c r="A15" s="289" t="s">
        <v>32</v>
      </c>
      <c r="B15" s="289"/>
      <c r="C15" s="59" t="s">
        <v>6</v>
      </c>
    </row>
    <row r="16" spans="1:7" ht="16.5" customHeight="1">
      <c r="A16" s="289" t="s">
        <v>33</v>
      </c>
      <c r="B16" s="289"/>
      <c r="C16" s="59" t="s">
        <v>8</v>
      </c>
    </row>
    <row r="17" spans="1:5" ht="16.5" customHeight="1">
      <c r="A17" s="289" t="s">
        <v>34</v>
      </c>
      <c r="B17" s="289"/>
      <c r="C17" s="59" t="s">
        <v>10</v>
      </c>
    </row>
    <row r="18" spans="1:5" ht="16.5" customHeight="1">
      <c r="A18" s="289" t="s">
        <v>35</v>
      </c>
      <c r="B18" s="289"/>
      <c r="C18" s="96" t="s">
        <v>11</v>
      </c>
    </row>
    <row r="19" spans="1:5" ht="16.5" customHeight="1">
      <c r="A19" s="289" t="s">
        <v>36</v>
      </c>
      <c r="B19" s="289"/>
      <c r="C19" s="96" t="str">
        <f>#REF!</f>
        <v>0</v>
      </c>
    </row>
    <row r="20" spans="1:5" ht="16.5" customHeight="1">
      <c r="A20" s="61"/>
      <c r="B20" s="61"/>
      <c r="C20" s="76"/>
    </row>
    <row r="21" spans="1:5" ht="16.5" customHeight="1">
      <c r="A21" s="284" t="s">
        <v>1</v>
      </c>
      <c r="B21" s="284"/>
      <c r="C21" s="58" t="s">
        <v>37</v>
      </c>
      <c r="D21" s="65"/>
    </row>
    <row r="22" spans="1:5" ht="15.75" customHeight="1">
      <c r="A22" s="288"/>
      <c r="B22" s="288"/>
      <c r="C22" s="56"/>
      <c r="D22" s="288"/>
      <c r="E22" s="288"/>
    </row>
    <row r="23" spans="1:5" ht="33.75" customHeight="1">
      <c r="C23" s="85" t="s">
        <v>38</v>
      </c>
      <c r="D23" s="84" t="s">
        <v>39</v>
      </c>
      <c r="E23" s="51"/>
    </row>
    <row r="24" spans="1:5" ht="15.75" customHeight="1">
      <c r="C24" s="94">
        <v>815.59</v>
      </c>
      <c r="D24" s="86">
        <f t="shared" ref="D24:D43" si="0">(C24-$C$46)/$C$46</f>
        <v>1.6585149398466999E-2</v>
      </c>
      <c r="E24" s="52"/>
    </row>
    <row r="25" spans="1:5" ht="15.75" customHeight="1">
      <c r="C25" s="94">
        <v>791.36</v>
      </c>
      <c r="D25" s="87">
        <f t="shared" si="0"/>
        <v>-1.3616125960383E-2</v>
      </c>
      <c r="E25" s="52"/>
    </row>
    <row r="26" spans="1:5" ht="15.75" customHeight="1">
      <c r="C26" s="94">
        <v>824.26</v>
      </c>
      <c r="D26" s="87">
        <f t="shared" si="0"/>
        <v>2.7391796421216998E-2</v>
      </c>
      <c r="E26" s="52"/>
    </row>
    <row r="27" spans="1:5" ht="15.75" customHeight="1">
      <c r="C27" s="94">
        <v>801.5</v>
      </c>
      <c r="D27" s="87">
        <f t="shared" si="0"/>
        <v>-9.7721006526380006E-4</v>
      </c>
      <c r="E27" s="52"/>
    </row>
    <row r="28" spans="1:5" ht="15.75" customHeight="1">
      <c r="C28" s="94">
        <v>793.88</v>
      </c>
      <c r="D28" s="87">
        <f t="shared" si="0"/>
        <v>-1.0475093607749999E-2</v>
      </c>
      <c r="E28" s="52"/>
    </row>
    <row r="29" spans="1:5" ht="15.75" customHeight="1">
      <c r="C29" s="94">
        <v>797.97</v>
      </c>
      <c r="D29" s="87">
        <f t="shared" si="0"/>
        <v>-5.3771482417698004E-3</v>
      </c>
      <c r="E29" s="52"/>
    </row>
    <row r="30" spans="1:5" ht="15.75" customHeight="1">
      <c r="C30" s="94">
        <v>797.38</v>
      </c>
      <c r="D30" s="87">
        <f t="shared" si="0"/>
        <v>-6.1125486735371997E-3</v>
      </c>
      <c r="E30" s="52"/>
    </row>
    <row r="31" spans="1:5" ht="15.75" customHeight="1">
      <c r="C31" s="94">
        <v>799.83</v>
      </c>
      <c r="D31" s="87">
        <f t="shared" si="0"/>
        <v>-3.0587672195882001E-3</v>
      </c>
      <c r="E31" s="52"/>
    </row>
    <row r="32" spans="1:5" ht="15.75" customHeight="1">
      <c r="C32" s="94">
        <v>807.38</v>
      </c>
      <c r="D32" s="87">
        <f t="shared" si="0"/>
        <v>6.3518654242136997E-3</v>
      </c>
      <c r="E32" s="52"/>
    </row>
    <row r="33" spans="1:7" ht="15.75" customHeight="1">
      <c r="C33" s="94">
        <v>790.69</v>
      </c>
      <c r="D33" s="87">
        <f t="shared" si="0"/>
        <v>-1.4451241704932E-2</v>
      </c>
      <c r="E33" s="52"/>
    </row>
    <row r="34" spans="1:7" ht="15.75" customHeight="1">
      <c r="C34" s="94">
        <v>794.52</v>
      </c>
      <c r="D34" s="87">
        <f t="shared" si="0"/>
        <v>-9.6773711054939995E-3</v>
      </c>
      <c r="E34" s="52"/>
    </row>
    <row r="35" spans="1:7" ht="15.75" customHeight="1">
      <c r="C35" s="94">
        <v>810.29</v>
      </c>
      <c r="D35" s="87">
        <f t="shared" si="0"/>
        <v>9.9790099266591995E-3</v>
      </c>
      <c r="E35" s="52"/>
    </row>
    <row r="36" spans="1:7" ht="15.75" customHeight="1">
      <c r="C36" s="94">
        <v>790.59</v>
      </c>
      <c r="D36" s="87">
        <f t="shared" si="0"/>
        <v>-1.457588584591E-2</v>
      </c>
      <c r="E36" s="52"/>
    </row>
    <row r="37" spans="1:7" ht="15.75" customHeight="1">
      <c r="C37" s="94">
        <v>802.51</v>
      </c>
      <c r="D37" s="87">
        <f t="shared" si="0"/>
        <v>2.8169575860903002E-4</v>
      </c>
      <c r="E37" s="52"/>
    </row>
    <row r="38" spans="1:7" ht="15.75" customHeight="1">
      <c r="C38" s="94">
        <v>793.25</v>
      </c>
      <c r="D38" s="87">
        <f t="shared" si="0"/>
        <v>-1.1260351695908E-2</v>
      </c>
      <c r="E38" s="52"/>
    </row>
    <row r="39" spans="1:7" ht="15.75" customHeight="1">
      <c r="C39" s="94">
        <v>816.01</v>
      </c>
      <c r="D39" s="87">
        <f t="shared" si="0"/>
        <v>1.7108654790573E-2</v>
      </c>
      <c r="E39" s="52"/>
    </row>
    <row r="40" spans="1:7" ht="15.75" customHeight="1">
      <c r="C40" s="94">
        <v>817.4</v>
      </c>
      <c r="D40" s="87">
        <f t="shared" si="0"/>
        <v>1.884120835016E-2</v>
      </c>
      <c r="E40" s="52"/>
    </row>
    <row r="41" spans="1:7" ht="15.75" customHeight="1">
      <c r="C41" s="94">
        <v>795.87</v>
      </c>
      <c r="D41" s="87">
        <f t="shared" si="0"/>
        <v>-7.9946752022976002E-3</v>
      </c>
      <c r="E41" s="52"/>
    </row>
    <row r="42" spans="1:7" ht="15.75" customHeight="1">
      <c r="C42" s="94">
        <v>792.16</v>
      </c>
      <c r="D42" s="87">
        <f t="shared" si="0"/>
        <v>-1.2618972832563E-2</v>
      </c>
      <c r="E42" s="52"/>
    </row>
    <row r="43" spans="1:7" ht="16.5" customHeight="1">
      <c r="C43" s="95">
        <v>813.24</v>
      </c>
      <c r="D43" s="88">
        <f t="shared" si="0"/>
        <v>1.3656012085496E-2</v>
      </c>
      <c r="E43" s="52"/>
    </row>
    <row r="44" spans="1:7" ht="16.5" customHeight="1">
      <c r="C44" s="53"/>
      <c r="D44" s="52"/>
      <c r="E44" s="54"/>
    </row>
    <row r="45" spans="1:7" ht="16.5" customHeight="1">
      <c r="B45" s="81" t="s">
        <v>40</v>
      </c>
      <c r="C45" s="82">
        <f>SUM(C24:C44)</f>
        <v>16045.68</v>
      </c>
      <c r="D45" s="77"/>
      <c r="E45" s="53"/>
    </row>
    <row r="46" spans="1:7" ht="17.25" customHeight="1">
      <c r="B46" s="81" t="s">
        <v>41</v>
      </c>
      <c r="C46" s="83">
        <f>AVERAGE(C24:C44)</f>
        <v>802.28399999999999</v>
      </c>
      <c r="E46" s="55"/>
    </row>
    <row r="47" spans="1:7" ht="17.25" customHeight="1">
      <c r="A47" s="59"/>
      <c r="B47" s="78"/>
      <c r="D47" s="57"/>
      <c r="E47" s="55"/>
    </row>
    <row r="48" spans="1:7" ht="33.75" customHeight="1">
      <c r="B48" s="91" t="s">
        <v>41</v>
      </c>
      <c r="C48" s="84" t="s">
        <v>42</v>
      </c>
      <c r="D48" s="79"/>
      <c r="G48" s="57"/>
    </row>
    <row r="49" spans="1:6" ht="17.25" customHeight="1">
      <c r="B49" s="282">
        <f>C46</f>
        <v>802.28399999999999</v>
      </c>
      <c r="C49" s="92">
        <f>-IF(C46&lt;=80,10%,IF(C46&lt;250,7.5%,5%))</f>
        <v>-0.05</v>
      </c>
      <c r="D49" s="80">
        <f>IF(C46&lt;=80,C46*0.9,IF(C46&lt;250,C46*0.925,C46*0.95))</f>
        <v>762.16980000000001</v>
      </c>
    </row>
    <row r="50" spans="1:6" ht="17.25" customHeight="1">
      <c r="B50" s="283"/>
      <c r="C50" s="93">
        <f>IF(C46&lt;=80, 10%, IF(C46&lt;250, 7.5%, 5%))</f>
        <v>0.05</v>
      </c>
      <c r="D50" s="80">
        <f>IF(C46&lt;=80, C46*1.1, IF(C46&lt;250, C46*1.075, C46*1.05))</f>
        <v>842.39819999999997</v>
      </c>
    </row>
    <row r="51" spans="1:6" ht="16.5" customHeight="1">
      <c r="A51" s="62"/>
      <c r="B51" s="63"/>
      <c r="C51" s="59"/>
      <c r="D51" s="64"/>
      <c r="E51" s="59"/>
      <c r="F51" s="65"/>
    </row>
    <row r="52" spans="1:6" ht="16.5" customHeight="1">
      <c r="A52" s="59"/>
      <c r="B52" s="66" t="s">
        <v>24</v>
      </c>
      <c r="C52" s="66"/>
      <c r="D52" s="67" t="s">
        <v>25</v>
      </c>
      <c r="E52" s="68"/>
      <c r="F52" s="67" t="s">
        <v>26</v>
      </c>
    </row>
    <row r="53" spans="1:6" ht="34.5" customHeight="1">
      <c r="A53" s="69" t="s">
        <v>27</v>
      </c>
      <c r="B53" s="70"/>
      <c r="C53" s="71"/>
      <c r="D53" s="70"/>
      <c r="E53" s="60"/>
      <c r="F53" s="72"/>
    </row>
    <row r="54" spans="1:6" ht="34.5" customHeight="1">
      <c r="A54" s="69" t="s">
        <v>28</v>
      </c>
      <c r="B54" s="73"/>
      <c r="C54" s="74"/>
      <c r="D54" s="73"/>
      <c r="E54" s="60"/>
      <c r="F54" s="75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4:I41"/>
  <sheetViews>
    <sheetView tabSelected="1" view="pageBreakPreview" zoomScale="60" workbookViewId="0">
      <selection activeCell="B21" sqref="B21"/>
    </sheetView>
  </sheetViews>
  <sheetFormatPr defaultRowHeight="13.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>
      <c r="A14" s="1"/>
      <c r="B14" s="2"/>
      <c r="C14" s="3"/>
      <c r="D14" s="2"/>
      <c r="F14" s="3"/>
    </row>
    <row r="15" spans="1:6" ht="18.75" customHeight="1">
      <c r="A15" s="290" t="s">
        <v>0</v>
      </c>
      <c r="B15" s="290"/>
      <c r="C15" s="290"/>
      <c r="D15" s="290"/>
      <c r="E15" s="290"/>
    </row>
    <row r="16" spans="1:6" ht="16.5" customHeight="1">
      <c r="A16" s="5" t="s">
        <v>1</v>
      </c>
      <c r="B16" s="281" t="s">
        <v>125</v>
      </c>
    </row>
    <row r="17" spans="1:6" ht="16.5" customHeight="1">
      <c r="A17" s="6" t="s">
        <v>2</v>
      </c>
      <c r="B17" s="7" t="s">
        <v>4</v>
      </c>
      <c r="D17" s="8"/>
      <c r="E17" s="9"/>
    </row>
    <row r="18" spans="1:6" ht="16.5" customHeight="1">
      <c r="A18" s="10" t="s">
        <v>3</v>
      </c>
      <c r="B18" s="280" t="s">
        <v>123</v>
      </c>
      <c r="C18" s="9"/>
      <c r="D18" s="9"/>
      <c r="E18" s="9"/>
    </row>
    <row r="19" spans="1:6" ht="16.5" customHeight="1">
      <c r="A19" s="10" t="s">
        <v>5</v>
      </c>
      <c r="B19" s="11">
        <v>98.8</v>
      </c>
      <c r="C19" s="9"/>
      <c r="D19" s="9"/>
      <c r="E19" s="9"/>
    </row>
    <row r="20" spans="1:6" ht="16.5" customHeight="1">
      <c r="A20" s="6" t="s">
        <v>7</v>
      </c>
      <c r="B20" s="11">
        <v>11.42</v>
      </c>
      <c r="C20" s="9"/>
      <c r="D20" s="9"/>
      <c r="E20" s="9"/>
    </row>
    <row r="21" spans="1:6" ht="16.5" customHeight="1">
      <c r="A21" s="6" t="s">
        <v>9</v>
      </c>
      <c r="B21" s="12">
        <f>B20/25*5/100</f>
        <v>2.2839999999999999E-2</v>
      </c>
      <c r="C21" s="9"/>
      <c r="D21" s="9"/>
      <c r="E21" s="9"/>
    </row>
    <row r="22" spans="1:6" ht="15.75" customHeight="1">
      <c r="A22" s="9"/>
      <c r="B22" s="9"/>
      <c r="C22" s="9"/>
      <c r="D22" s="9"/>
      <c r="E22" s="9"/>
    </row>
    <row r="23" spans="1:6" ht="16.5" customHeight="1">
      <c r="A23" s="13" t="s">
        <v>12</v>
      </c>
      <c r="B23" s="14" t="s">
        <v>13</v>
      </c>
      <c r="C23" s="13" t="s">
        <v>14</v>
      </c>
      <c r="D23" s="13" t="s">
        <v>15</v>
      </c>
      <c r="E23" s="15" t="s">
        <v>16</v>
      </c>
    </row>
    <row r="24" spans="1:6" ht="16.5" customHeight="1">
      <c r="A24" s="16">
        <v>1</v>
      </c>
      <c r="B24" s="17">
        <v>37528891</v>
      </c>
      <c r="C24" s="17">
        <v>9505.7999999999993</v>
      </c>
      <c r="D24" s="18">
        <v>1.2</v>
      </c>
      <c r="E24" s="19">
        <v>5.9</v>
      </c>
    </row>
    <row r="25" spans="1:6" ht="16.5" customHeight="1">
      <c r="A25" s="16">
        <v>2</v>
      </c>
      <c r="B25" s="17">
        <v>37582798</v>
      </c>
      <c r="C25" s="17">
        <v>9572.1</v>
      </c>
      <c r="D25" s="18">
        <v>1.1000000000000001</v>
      </c>
      <c r="E25" s="18">
        <v>5.9</v>
      </c>
    </row>
    <row r="26" spans="1:6" ht="16.5" customHeight="1">
      <c r="A26" s="16">
        <v>3</v>
      </c>
      <c r="B26" s="17">
        <v>37619206</v>
      </c>
      <c r="C26" s="17">
        <v>9541.7999999999993</v>
      </c>
      <c r="D26" s="18">
        <v>1.2</v>
      </c>
      <c r="E26" s="18">
        <v>5.9</v>
      </c>
    </row>
    <row r="27" spans="1:6" ht="16.5" customHeight="1">
      <c r="A27" s="16">
        <v>4</v>
      </c>
      <c r="B27" s="17">
        <v>37633519</v>
      </c>
      <c r="C27" s="17">
        <v>9552.2999999999993</v>
      </c>
      <c r="D27" s="18">
        <v>1.2</v>
      </c>
      <c r="E27" s="18">
        <v>5.9</v>
      </c>
    </row>
    <row r="28" spans="1:6" ht="16.5" customHeight="1">
      <c r="A28" s="16">
        <v>5</v>
      </c>
      <c r="B28" s="17">
        <v>37532988</v>
      </c>
      <c r="C28" s="17">
        <v>9553.1</v>
      </c>
      <c r="D28" s="18">
        <v>1.2</v>
      </c>
      <c r="E28" s="18">
        <v>5.9</v>
      </c>
    </row>
    <row r="29" spans="1:6" ht="16.5" customHeight="1">
      <c r="A29" s="16">
        <v>6</v>
      </c>
      <c r="B29" s="20">
        <v>37527267</v>
      </c>
      <c r="C29" s="20">
        <v>9623.2000000000007</v>
      </c>
      <c r="D29" s="21">
        <v>1.2</v>
      </c>
      <c r="E29" s="21">
        <v>5.9</v>
      </c>
    </row>
    <row r="30" spans="1:6" ht="16.5" customHeight="1">
      <c r="A30" s="22" t="s">
        <v>17</v>
      </c>
      <c r="B30" s="23">
        <f>AVERAGE(B24:B29)</f>
        <v>37570778.166666664</v>
      </c>
      <c r="C30" s="24">
        <f>AVERAGE(C24:C29)</f>
        <v>9558.0500000000011</v>
      </c>
      <c r="D30" s="25">
        <f>AVERAGE(D24:D29)</f>
        <v>1.1833333333333333</v>
      </c>
      <c r="E30" s="25">
        <f>AVERAGE(E24:E29)</f>
        <v>5.8999999999999995</v>
      </c>
    </row>
    <row r="31" spans="1:6" ht="16.5" customHeight="1">
      <c r="A31" s="26" t="s">
        <v>18</v>
      </c>
      <c r="B31" s="27">
        <f>(STDEV(B24:B29)/B30)</f>
        <v>1.2765899644969023E-3</v>
      </c>
      <c r="C31" s="28"/>
      <c r="D31" s="28"/>
      <c r="E31" s="29"/>
      <c r="F31" s="2"/>
    </row>
    <row r="32" spans="1:6" s="2" customFormat="1" ht="16.5" customHeight="1">
      <c r="A32" s="30" t="s">
        <v>19</v>
      </c>
      <c r="B32" s="31">
        <f>COUNT(B24:B29)</f>
        <v>6</v>
      </c>
      <c r="C32" s="32"/>
      <c r="D32" s="33"/>
      <c r="E32" s="34"/>
    </row>
    <row r="33" spans="1:7" s="2" customFormat="1" ht="15.75" customHeight="1">
      <c r="A33" s="9"/>
      <c r="B33" s="9"/>
      <c r="C33" s="9"/>
      <c r="D33" s="9"/>
      <c r="E33" s="35"/>
    </row>
    <row r="34" spans="1:7" s="2" customFormat="1" ht="16.5" customHeight="1">
      <c r="A34" s="10" t="s">
        <v>20</v>
      </c>
      <c r="B34" s="36" t="s">
        <v>21</v>
      </c>
      <c r="C34" s="37"/>
      <c r="D34" s="37"/>
      <c r="E34" s="38"/>
    </row>
    <row r="35" spans="1:7" ht="16.5" customHeight="1">
      <c r="A35" s="10"/>
      <c r="B35" s="36" t="s">
        <v>22</v>
      </c>
      <c r="C35" s="37"/>
      <c r="D35" s="37"/>
      <c r="E35" s="38"/>
      <c r="F35" s="2"/>
    </row>
    <row r="36" spans="1:7" ht="16.5" customHeight="1">
      <c r="A36" s="10"/>
      <c r="B36" s="39" t="s">
        <v>23</v>
      </c>
      <c r="C36" s="37"/>
      <c r="D36" s="37"/>
      <c r="E36" s="37"/>
    </row>
    <row r="37" spans="1:7" ht="15.75" customHeight="1">
      <c r="A37" s="9"/>
      <c r="B37" s="9"/>
      <c r="C37" s="9"/>
      <c r="D37" s="9"/>
      <c r="E37" s="9"/>
    </row>
    <row r="38" spans="1:7" ht="14.25" customHeight="1" thickBot="1">
      <c r="A38" s="40"/>
      <c r="B38" s="41"/>
      <c r="D38" s="42"/>
      <c r="F38" s="43"/>
      <c r="G38" s="43"/>
    </row>
    <row r="39" spans="1:7" ht="15" customHeight="1">
      <c r="B39" s="291" t="s">
        <v>24</v>
      </c>
      <c r="C39" s="291"/>
      <c r="E39" s="44" t="s">
        <v>25</v>
      </c>
      <c r="F39" s="45"/>
      <c r="G39" s="44" t="s">
        <v>26</v>
      </c>
    </row>
    <row r="40" spans="1:7" ht="15" customHeight="1">
      <c r="A40" s="46" t="s">
        <v>27</v>
      </c>
      <c r="B40" s="47"/>
      <c r="C40" s="47"/>
      <c r="E40" s="47"/>
      <c r="F40" s="2"/>
      <c r="G40" s="48"/>
    </row>
    <row r="41" spans="1:7" ht="15" customHeight="1">
      <c r="A41" s="46" t="s">
        <v>28</v>
      </c>
      <c r="B41" s="49"/>
      <c r="C41" s="49"/>
      <c r="E41" s="49"/>
      <c r="F41" s="2"/>
      <c r="G4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39:C39"/>
  </mergeCells>
  <pageMargins left="0.7" right="0.7" top="0.75" bottom="0.75" header="0.3" footer="0.3"/>
  <pageSetup scale="68" orientation="landscape" r:id="rId1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view="pageBreakPreview" topLeftCell="A53" zoomScale="50" zoomScaleNormal="60" zoomScaleSheetLayoutView="50" zoomScalePageLayoutView="55" workbookViewId="0">
      <selection activeCell="D72" sqref="D72"/>
    </sheetView>
  </sheetViews>
  <sheetFormatPr defaultColWidth="9.140625"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>
      <c r="A1" s="292" t="s">
        <v>43</v>
      </c>
      <c r="B1" s="292"/>
      <c r="C1" s="292"/>
      <c r="D1" s="292"/>
      <c r="E1" s="292"/>
      <c r="F1" s="292"/>
      <c r="G1" s="292"/>
      <c r="H1" s="292"/>
      <c r="I1" s="292"/>
    </row>
    <row r="2" spans="1:9" ht="18.75" customHeight="1">
      <c r="A2" s="292"/>
      <c r="B2" s="292"/>
      <c r="C2" s="292"/>
      <c r="D2" s="292"/>
      <c r="E2" s="292"/>
      <c r="F2" s="292"/>
      <c r="G2" s="292"/>
      <c r="H2" s="292"/>
      <c r="I2" s="292"/>
    </row>
    <row r="3" spans="1:9" ht="18.75" customHeight="1">
      <c r="A3" s="292"/>
      <c r="B3" s="292"/>
      <c r="C3" s="292"/>
      <c r="D3" s="292"/>
      <c r="E3" s="292"/>
      <c r="F3" s="292"/>
      <c r="G3" s="292"/>
      <c r="H3" s="292"/>
      <c r="I3" s="292"/>
    </row>
    <row r="4" spans="1:9" ht="18.75" customHeight="1">
      <c r="A4" s="292"/>
      <c r="B4" s="292"/>
      <c r="C4" s="292"/>
      <c r="D4" s="292"/>
      <c r="E4" s="292"/>
      <c r="F4" s="292"/>
      <c r="G4" s="292"/>
      <c r="H4" s="292"/>
      <c r="I4" s="292"/>
    </row>
    <row r="5" spans="1:9" ht="18.75" customHeight="1">
      <c r="A5" s="292"/>
      <c r="B5" s="292"/>
      <c r="C5" s="292"/>
      <c r="D5" s="292"/>
      <c r="E5" s="292"/>
      <c r="F5" s="292"/>
      <c r="G5" s="292"/>
      <c r="H5" s="292"/>
      <c r="I5" s="292"/>
    </row>
    <row r="6" spans="1:9" ht="18.75" customHeight="1">
      <c r="A6" s="292"/>
      <c r="B6" s="292"/>
      <c r="C6" s="292"/>
      <c r="D6" s="292"/>
      <c r="E6" s="292"/>
      <c r="F6" s="292"/>
      <c r="G6" s="292"/>
      <c r="H6" s="292"/>
      <c r="I6" s="292"/>
    </row>
    <row r="7" spans="1:9" ht="18.75" customHeight="1">
      <c r="A7" s="292"/>
      <c r="B7" s="292"/>
      <c r="C7" s="292"/>
      <c r="D7" s="292"/>
      <c r="E7" s="292"/>
      <c r="F7" s="292"/>
      <c r="G7" s="292"/>
      <c r="H7" s="292"/>
      <c r="I7" s="292"/>
    </row>
    <row r="8" spans="1:9">
      <c r="A8" s="293" t="s">
        <v>44</v>
      </c>
      <c r="B8" s="293"/>
      <c r="C8" s="293"/>
      <c r="D8" s="293"/>
      <c r="E8" s="293"/>
      <c r="F8" s="293"/>
      <c r="G8" s="293"/>
      <c r="H8" s="293"/>
      <c r="I8" s="293"/>
    </row>
    <row r="9" spans="1:9">
      <c r="A9" s="293"/>
      <c r="B9" s="293"/>
      <c r="C9" s="293"/>
      <c r="D9" s="293"/>
      <c r="E9" s="293"/>
      <c r="F9" s="293"/>
      <c r="G9" s="293"/>
      <c r="H9" s="293"/>
      <c r="I9" s="293"/>
    </row>
    <row r="10" spans="1:9">
      <c r="A10" s="293"/>
      <c r="B10" s="293"/>
      <c r="C10" s="293"/>
      <c r="D10" s="293"/>
      <c r="E10" s="293"/>
      <c r="F10" s="293"/>
      <c r="G10" s="293"/>
      <c r="H10" s="293"/>
      <c r="I10" s="293"/>
    </row>
    <row r="11" spans="1:9">
      <c r="A11" s="293"/>
      <c r="B11" s="293"/>
      <c r="C11" s="293"/>
      <c r="D11" s="293"/>
      <c r="E11" s="293"/>
      <c r="F11" s="293"/>
      <c r="G11" s="293"/>
      <c r="H11" s="293"/>
      <c r="I11" s="293"/>
    </row>
    <row r="12" spans="1:9">
      <c r="A12" s="293"/>
      <c r="B12" s="293"/>
      <c r="C12" s="293"/>
      <c r="D12" s="293"/>
      <c r="E12" s="293"/>
      <c r="F12" s="293"/>
      <c r="G12" s="293"/>
      <c r="H12" s="293"/>
      <c r="I12" s="293"/>
    </row>
    <row r="13" spans="1:9">
      <c r="A13" s="293"/>
      <c r="B13" s="293"/>
      <c r="C13" s="293"/>
      <c r="D13" s="293"/>
      <c r="E13" s="293"/>
      <c r="F13" s="293"/>
      <c r="G13" s="293"/>
      <c r="H13" s="293"/>
      <c r="I13" s="293"/>
    </row>
    <row r="14" spans="1:9">
      <c r="A14" s="293"/>
      <c r="B14" s="293"/>
      <c r="C14" s="293"/>
      <c r="D14" s="293"/>
      <c r="E14" s="293"/>
      <c r="F14" s="293"/>
      <c r="G14" s="293"/>
      <c r="H14" s="293"/>
      <c r="I14" s="293"/>
    </row>
    <row r="15" spans="1:9" ht="19.5" customHeight="1">
      <c r="A15" s="97"/>
    </row>
    <row r="16" spans="1:9" ht="19.5" customHeight="1">
      <c r="A16" s="326" t="s">
        <v>29</v>
      </c>
      <c r="B16" s="327"/>
      <c r="C16" s="327"/>
      <c r="D16" s="327"/>
      <c r="E16" s="327"/>
      <c r="F16" s="327"/>
      <c r="G16" s="327"/>
      <c r="H16" s="328"/>
    </row>
    <row r="17" spans="1:14" ht="20.25" customHeight="1">
      <c r="A17" s="329" t="s">
        <v>45</v>
      </c>
      <c r="B17" s="329"/>
      <c r="C17" s="329"/>
      <c r="D17" s="329"/>
      <c r="E17" s="329"/>
      <c r="F17" s="329"/>
      <c r="G17" s="329"/>
      <c r="H17" s="329"/>
    </row>
    <row r="18" spans="1:14" ht="26.25" customHeight="1">
      <c r="A18" s="99" t="s">
        <v>31</v>
      </c>
      <c r="B18" s="325" t="s">
        <v>4</v>
      </c>
      <c r="C18" s="325"/>
      <c r="D18" s="266"/>
      <c r="E18" s="100"/>
      <c r="F18" s="101"/>
      <c r="G18" s="101"/>
      <c r="H18" s="101"/>
    </row>
    <row r="19" spans="1:14" ht="26.25" customHeight="1">
      <c r="A19" s="99" t="s">
        <v>32</v>
      </c>
      <c r="B19" s="102" t="s">
        <v>6</v>
      </c>
      <c r="C19" s="279">
        <v>29</v>
      </c>
      <c r="D19" s="101"/>
      <c r="E19" s="101"/>
      <c r="F19" s="101"/>
      <c r="G19" s="101"/>
      <c r="H19" s="101"/>
    </row>
    <row r="20" spans="1:14" ht="26.25" customHeight="1">
      <c r="A20" s="99" t="s">
        <v>33</v>
      </c>
      <c r="B20" s="330" t="s">
        <v>8</v>
      </c>
      <c r="C20" s="330"/>
      <c r="D20" s="101"/>
      <c r="E20" s="101"/>
      <c r="F20" s="101"/>
      <c r="G20" s="101"/>
      <c r="H20" s="101"/>
    </row>
    <row r="21" spans="1:14" ht="26.25" customHeight="1">
      <c r="A21" s="99" t="s">
        <v>34</v>
      </c>
      <c r="B21" s="330" t="s">
        <v>10</v>
      </c>
      <c r="C21" s="330"/>
      <c r="D21" s="330"/>
      <c r="E21" s="330"/>
      <c r="F21" s="330"/>
      <c r="G21" s="330"/>
      <c r="H21" s="330"/>
      <c r="I21" s="103"/>
    </row>
    <row r="22" spans="1:14" ht="26.25" customHeight="1">
      <c r="A22" s="99" t="s">
        <v>35</v>
      </c>
      <c r="B22" s="104">
        <v>42591</v>
      </c>
      <c r="C22" s="101"/>
      <c r="D22" s="101"/>
      <c r="E22" s="101"/>
      <c r="F22" s="101"/>
      <c r="G22" s="101"/>
      <c r="H22" s="101"/>
    </row>
    <row r="23" spans="1:14" ht="26.25" customHeight="1">
      <c r="A23" s="99" t="s">
        <v>36</v>
      </c>
      <c r="B23" s="104">
        <v>42594</v>
      </c>
      <c r="C23" s="101"/>
      <c r="D23" s="101"/>
      <c r="E23" s="101"/>
      <c r="F23" s="101"/>
      <c r="G23" s="101"/>
      <c r="H23" s="101"/>
    </row>
    <row r="24" spans="1:14" ht="18.75">
      <c r="A24" s="99"/>
      <c r="B24" s="105"/>
    </row>
    <row r="25" spans="1:14" ht="18.75">
      <c r="A25" s="106" t="s">
        <v>1</v>
      </c>
      <c r="B25" s="105"/>
    </row>
    <row r="26" spans="1:14" ht="26.25" customHeight="1">
      <c r="A26" s="107" t="s">
        <v>3</v>
      </c>
      <c r="B26" s="325" t="s">
        <v>123</v>
      </c>
      <c r="C26" s="325"/>
    </row>
    <row r="27" spans="1:14" ht="26.25" customHeight="1">
      <c r="A27" s="108" t="s">
        <v>46</v>
      </c>
      <c r="B27" s="323" t="s">
        <v>124</v>
      </c>
      <c r="C27" s="323"/>
    </row>
    <row r="28" spans="1:14" ht="27" customHeight="1">
      <c r="A28" s="108" t="s">
        <v>5</v>
      </c>
      <c r="B28" s="109">
        <v>98.8</v>
      </c>
    </row>
    <row r="29" spans="1:14" s="13" customFormat="1" ht="27" customHeight="1">
      <c r="A29" s="108" t="s">
        <v>47</v>
      </c>
      <c r="B29" s="110">
        <v>0</v>
      </c>
      <c r="C29" s="300" t="s">
        <v>48</v>
      </c>
      <c r="D29" s="301"/>
      <c r="E29" s="301"/>
      <c r="F29" s="301"/>
      <c r="G29" s="302"/>
      <c r="I29" s="111"/>
      <c r="J29" s="111"/>
      <c r="K29" s="111"/>
      <c r="L29" s="111"/>
    </row>
    <row r="30" spans="1:14" s="13" customFormat="1" ht="19.5" customHeight="1">
      <c r="A30" s="108" t="s">
        <v>49</v>
      </c>
      <c r="B30" s="112">
        <f>B28-B29</f>
        <v>98.8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3" customFormat="1" ht="27" customHeight="1">
      <c r="A31" s="108" t="s">
        <v>50</v>
      </c>
      <c r="B31" s="115">
        <v>1</v>
      </c>
      <c r="C31" s="303" t="s">
        <v>51</v>
      </c>
      <c r="D31" s="304"/>
      <c r="E31" s="304"/>
      <c r="F31" s="304"/>
      <c r="G31" s="304"/>
      <c r="H31" s="305"/>
      <c r="I31" s="111"/>
      <c r="J31" s="111"/>
      <c r="K31" s="111"/>
      <c r="L31" s="111"/>
    </row>
    <row r="32" spans="1:14" s="13" customFormat="1" ht="27" customHeight="1">
      <c r="A32" s="108" t="s">
        <v>52</v>
      </c>
      <c r="B32" s="115">
        <v>1</v>
      </c>
      <c r="C32" s="303" t="s">
        <v>53</v>
      </c>
      <c r="D32" s="304"/>
      <c r="E32" s="304"/>
      <c r="F32" s="304"/>
      <c r="G32" s="304"/>
      <c r="H32" s="305"/>
      <c r="I32" s="111"/>
      <c r="J32" s="111"/>
      <c r="K32" s="111"/>
      <c r="L32" s="116"/>
      <c r="M32" s="116"/>
      <c r="N32" s="117"/>
    </row>
    <row r="33" spans="1:14" s="13" customFormat="1" ht="17.25" customHeight="1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3" customFormat="1" ht="18.75">
      <c r="A34" s="108" t="s">
        <v>54</v>
      </c>
      <c r="B34" s="120">
        <f>B31/B32</f>
        <v>1</v>
      </c>
      <c r="C34" s="98" t="s">
        <v>55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3" customFormat="1" ht="19.5" customHeight="1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3" customFormat="1" ht="27" customHeight="1">
      <c r="A36" s="121" t="s">
        <v>56</v>
      </c>
      <c r="B36" s="122">
        <v>25</v>
      </c>
      <c r="C36" s="98"/>
      <c r="D36" s="306" t="s">
        <v>57</v>
      </c>
      <c r="E36" s="324"/>
      <c r="F36" s="306" t="s">
        <v>58</v>
      </c>
      <c r="G36" s="307"/>
      <c r="J36" s="111"/>
      <c r="K36" s="111"/>
      <c r="L36" s="116"/>
      <c r="M36" s="116"/>
      <c r="N36" s="117"/>
    </row>
    <row r="37" spans="1:14" s="13" customFormat="1" ht="27" customHeight="1">
      <c r="A37" s="123" t="s">
        <v>59</v>
      </c>
      <c r="B37" s="124">
        <v>5</v>
      </c>
      <c r="C37" s="125" t="s">
        <v>60</v>
      </c>
      <c r="D37" s="126" t="s">
        <v>61</v>
      </c>
      <c r="E37" s="127" t="s">
        <v>62</v>
      </c>
      <c r="F37" s="126" t="s">
        <v>61</v>
      </c>
      <c r="G37" s="128" t="s">
        <v>62</v>
      </c>
      <c r="I37" s="129" t="s">
        <v>63</v>
      </c>
      <c r="J37" s="111"/>
      <c r="K37" s="111"/>
      <c r="L37" s="116"/>
      <c r="M37" s="116"/>
      <c r="N37" s="117"/>
    </row>
    <row r="38" spans="1:14" s="13" customFormat="1" ht="26.25" customHeight="1">
      <c r="A38" s="123" t="s">
        <v>64</v>
      </c>
      <c r="B38" s="124">
        <v>100</v>
      </c>
      <c r="C38" s="130">
        <v>1</v>
      </c>
      <c r="D38" s="131">
        <v>37532988</v>
      </c>
      <c r="E38" s="132">
        <f>IF(ISBLANK(D38),"-",$D$48/$D$45*D38)</f>
        <v>41581495.458638504</v>
      </c>
      <c r="F38" s="131">
        <v>41014099</v>
      </c>
      <c r="G38" s="133">
        <f>IF(ISBLANK(F38),"-",$D$48/$F$45*F38)</f>
        <v>40730225.619522177</v>
      </c>
      <c r="I38" s="134"/>
      <c r="J38" s="111"/>
      <c r="K38" s="111"/>
      <c r="L38" s="116"/>
      <c r="M38" s="116"/>
      <c r="N38" s="117"/>
    </row>
    <row r="39" spans="1:14" s="13" customFormat="1" ht="26.25" customHeight="1">
      <c r="A39" s="123" t="s">
        <v>65</v>
      </c>
      <c r="B39" s="124">
        <v>1</v>
      </c>
      <c r="C39" s="135">
        <v>2</v>
      </c>
      <c r="D39" s="136">
        <v>37527267</v>
      </c>
      <c r="E39" s="137">
        <f>IF(ISBLANK(D39),"-",$D$48/$D$45*D39)</f>
        <v>41575157.361188903</v>
      </c>
      <c r="F39" s="136">
        <v>41030368</v>
      </c>
      <c r="G39" s="138">
        <f>IF(ISBLANK(F39),"-",$D$48/$F$45*F39)</f>
        <v>40746382.015901968</v>
      </c>
      <c r="I39" s="308">
        <f>ABS((F43/D43*D42)-F42)/D42</f>
        <v>2.2901284797667978E-2</v>
      </c>
      <c r="J39" s="111"/>
      <c r="K39" s="111"/>
      <c r="L39" s="116"/>
      <c r="M39" s="116"/>
      <c r="N39" s="117"/>
    </row>
    <row r="40" spans="1:14" ht="26.25" customHeight="1">
      <c r="A40" s="123" t="s">
        <v>66</v>
      </c>
      <c r="B40" s="124">
        <v>1</v>
      </c>
      <c r="C40" s="135">
        <v>3</v>
      </c>
      <c r="D40" s="136">
        <v>37626958</v>
      </c>
      <c r="E40" s="137">
        <f>IF(ISBLANK(D40),"-",$D$48/$D$45*D40)</f>
        <v>41685601.562001452</v>
      </c>
      <c r="F40" s="136">
        <v>41087206</v>
      </c>
      <c r="G40" s="138">
        <f>IF(ISBLANK(F40),"-",$D$48/$F$45*F40)</f>
        <v>40802826.619592085</v>
      </c>
      <c r="I40" s="308"/>
      <c r="L40" s="116"/>
      <c r="M40" s="116"/>
      <c r="N40" s="139"/>
    </row>
    <row r="41" spans="1:14" ht="27" customHeight="1">
      <c r="A41" s="123" t="s">
        <v>67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>
      <c r="A42" s="123" t="s">
        <v>68</v>
      </c>
      <c r="B42" s="124">
        <v>1</v>
      </c>
      <c r="C42" s="145" t="s">
        <v>69</v>
      </c>
      <c r="D42" s="146">
        <f>AVERAGE(D38:D41)</f>
        <v>37562404.333333336</v>
      </c>
      <c r="E42" s="147">
        <f>AVERAGE(E38:E41)</f>
        <v>41614084.793942951</v>
      </c>
      <c r="F42" s="146">
        <f>AVERAGE(F38:F41)</f>
        <v>41043891</v>
      </c>
      <c r="G42" s="148">
        <f>AVERAGE(G38:G41)</f>
        <v>40759811.418338738</v>
      </c>
      <c r="H42" s="149"/>
    </row>
    <row r="43" spans="1:14" ht="26.25" customHeight="1">
      <c r="A43" s="123" t="s">
        <v>70</v>
      </c>
      <c r="B43" s="124">
        <v>1</v>
      </c>
      <c r="C43" s="150" t="s">
        <v>71</v>
      </c>
      <c r="D43" s="151">
        <v>11.42</v>
      </c>
      <c r="E43" s="139"/>
      <c r="F43" s="151">
        <v>12.74</v>
      </c>
      <c r="H43" s="149"/>
    </row>
    <row r="44" spans="1:14" ht="26.25" customHeight="1">
      <c r="A44" s="123" t="s">
        <v>72</v>
      </c>
      <c r="B44" s="124">
        <v>1</v>
      </c>
      <c r="C44" s="152" t="s">
        <v>73</v>
      </c>
      <c r="D44" s="153">
        <f>D43*$B$34</f>
        <v>11.42</v>
      </c>
      <c r="E44" s="154"/>
      <c r="F44" s="153">
        <f>F43*$B$34</f>
        <v>12.74</v>
      </c>
      <c r="H44" s="149"/>
    </row>
    <row r="45" spans="1:14" ht="19.5" customHeight="1">
      <c r="A45" s="123" t="s">
        <v>74</v>
      </c>
      <c r="B45" s="155">
        <f>(B44/B43)*(B42/B41)*(B40/B39)*(B38/B37)*B36</f>
        <v>500</v>
      </c>
      <c r="C45" s="152" t="s">
        <v>75</v>
      </c>
      <c r="D45" s="156">
        <f>D44*$B$30/100</f>
        <v>11.282960000000001</v>
      </c>
      <c r="E45" s="157"/>
      <c r="F45" s="156">
        <f>F44*$B$30/100</f>
        <v>12.587120000000001</v>
      </c>
      <c r="H45" s="149"/>
    </row>
    <row r="46" spans="1:14" ht="19.5" customHeight="1">
      <c r="A46" s="294" t="s">
        <v>76</v>
      </c>
      <c r="B46" s="295"/>
      <c r="C46" s="152" t="s">
        <v>77</v>
      </c>
      <c r="D46" s="158">
        <f>D45/$B$45</f>
        <v>2.2565920000000003E-2</v>
      </c>
      <c r="E46" s="159"/>
      <c r="F46" s="160">
        <f>F45/$B$45</f>
        <v>2.5174240000000001E-2</v>
      </c>
      <c r="H46" s="149"/>
    </row>
    <row r="47" spans="1:14" ht="27" customHeight="1">
      <c r="A47" s="296"/>
      <c r="B47" s="297"/>
      <c r="C47" s="161" t="s">
        <v>78</v>
      </c>
      <c r="D47" s="162">
        <v>2.5000000000000001E-2</v>
      </c>
      <c r="E47" s="163"/>
      <c r="F47" s="159"/>
      <c r="H47" s="149"/>
    </row>
    <row r="48" spans="1:14" ht="18.75">
      <c r="C48" s="164" t="s">
        <v>79</v>
      </c>
      <c r="D48" s="156">
        <f>D47*$B$45</f>
        <v>12.5</v>
      </c>
      <c r="F48" s="165"/>
      <c r="H48" s="149"/>
    </row>
    <row r="49" spans="1:12" ht="19.5" customHeight="1">
      <c r="C49" s="166" t="s">
        <v>80</v>
      </c>
      <c r="D49" s="167">
        <f>D48/B34</f>
        <v>12.5</v>
      </c>
      <c r="F49" s="165"/>
      <c r="H49" s="149"/>
    </row>
    <row r="50" spans="1:12" ht="18.75">
      <c r="C50" s="121" t="s">
        <v>81</v>
      </c>
      <c r="D50" s="168">
        <f>AVERAGE(E38:E41,G38:G41)</f>
        <v>41186948.106140845</v>
      </c>
      <c r="F50" s="169"/>
      <c r="H50" s="149"/>
    </row>
    <row r="51" spans="1:12" ht="18.75">
      <c r="C51" s="123" t="s">
        <v>82</v>
      </c>
      <c r="D51" s="170">
        <f>STDEV(E38:E41,G38:G41)/D50</f>
        <v>1.1415372147355298E-2</v>
      </c>
      <c r="F51" s="169"/>
      <c r="H51" s="149"/>
    </row>
    <row r="52" spans="1:12" ht="19.5" customHeight="1">
      <c r="C52" s="171" t="s">
        <v>19</v>
      </c>
      <c r="D52" s="172">
        <f>COUNT(E38:E41,G38:G41)</f>
        <v>6</v>
      </c>
      <c r="F52" s="169"/>
    </row>
    <row r="54" spans="1:12" ht="18.75">
      <c r="A54" s="173" t="s">
        <v>1</v>
      </c>
      <c r="B54" s="174" t="s">
        <v>83</v>
      </c>
    </row>
    <row r="55" spans="1:12" ht="18.75">
      <c r="A55" s="98" t="s">
        <v>84</v>
      </c>
      <c r="B55" s="175" t="str">
        <f>B21</f>
        <v/>
      </c>
    </row>
    <row r="56" spans="1:12" ht="26.25" customHeight="1">
      <c r="A56" s="176" t="s">
        <v>85</v>
      </c>
      <c r="B56" s="177">
        <v>200</v>
      </c>
      <c r="C56" s="98" t="str">
        <f>B20</f>
        <v/>
      </c>
      <c r="H56" s="178"/>
    </row>
    <row r="57" spans="1:12" ht="18.75">
      <c r="A57" s="175" t="s">
        <v>86</v>
      </c>
      <c r="B57" s="267">
        <f>Uniformity!C46</f>
        <v>802.28399999999999</v>
      </c>
      <c r="H57" s="178"/>
    </row>
    <row r="58" spans="1:12" ht="19.5" customHeight="1">
      <c r="H58" s="178"/>
    </row>
    <row r="59" spans="1:12" s="13" customFormat="1" ht="27" customHeight="1">
      <c r="A59" s="121" t="s">
        <v>87</v>
      </c>
      <c r="B59" s="122">
        <v>250</v>
      </c>
      <c r="C59" s="98"/>
      <c r="D59" s="179" t="s">
        <v>88</v>
      </c>
      <c r="E59" s="180" t="s">
        <v>60</v>
      </c>
      <c r="F59" s="180" t="s">
        <v>61</v>
      </c>
      <c r="G59" s="180" t="s">
        <v>89</v>
      </c>
      <c r="H59" s="125" t="s">
        <v>90</v>
      </c>
      <c r="L59" s="111"/>
    </row>
    <row r="60" spans="1:12" s="13" customFormat="1" ht="26.25" customHeight="1">
      <c r="A60" s="123" t="s">
        <v>91</v>
      </c>
      <c r="B60" s="124">
        <v>3</v>
      </c>
      <c r="C60" s="311" t="s">
        <v>92</v>
      </c>
      <c r="D60" s="314">
        <v>786.34</v>
      </c>
      <c r="E60" s="181">
        <v>1</v>
      </c>
      <c r="F60" s="182">
        <v>37037036</v>
      </c>
      <c r="G60" s="268">
        <f>IF(ISBLANK(F60),"-",(F60/$D$50*$D$47*$B$68)*($B$57/$D$60))</f>
        <v>191.14068439827571</v>
      </c>
      <c r="H60" s="183">
        <f t="shared" ref="H60:H71" si="0">IF(ISBLANK(F60),"-",G60/$B$56)</f>
        <v>0.95570342199137859</v>
      </c>
      <c r="L60" s="111"/>
    </row>
    <row r="61" spans="1:12" s="13" customFormat="1" ht="26.25" customHeight="1">
      <c r="A61" s="123" t="s">
        <v>93</v>
      </c>
      <c r="B61" s="124">
        <v>100</v>
      </c>
      <c r="C61" s="312"/>
      <c r="D61" s="315"/>
      <c r="E61" s="184">
        <v>2</v>
      </c>
      <c r="F61" s="136">
        <v>37185569</v>
      </c>
      <c r="G61" s="269">
        <f>IF(ISBLANK(F61),"-",(F61/$D$50*$D$47*$B$68)*($B$57/$D$60))</f>
        <v>191.90723330018375</v>
      </c>
      <c r="H61" s="185">
        <f t="shared" si="0"/>
        <v>0.95953616650091877</v>
      </c>
      <c r="L61" s="111"/>
    </row>
    <row r="62" spans="1:12" s="13" customFormat="1" ht="26.25" customHeight="1">
      <c r="A62" s="123" t="s">
        <v>94</v>
      </c>
      <c r="B62" s="124">
        <v>1</v>
      </c>
      <c r="C62" s="312"/>
      <c r="D62" s="315"/>
      <c r="E62" s="184">
        <v>3</v>
      </c>
      <c r="F62" s="186">
        <v>37168691</v>
      </c>
      <c r="G62" s="269">
        <f>IF(ISBLANK(F62),"-",(F62/$D$50*$D$47*$B$68)*($B$57/$D$60))</f>
        <v>191.82012934102042</v>
      </c>
      <c r="H62" s="185">
        <f t="shared" si="0"/>
        <v>0.95910064670510209</v>
      </c>
      <c r="L62" s="111"/>
    </row>
    <row r="63" spans="1:12" ht="27" customHeight="1">
      <c r="A63" s="123" t="s">
        <v>95</v>
      </c>
      <c r="B63" s="124">
        <v>1</v>
      </c>
      <c r="C63" s="322"/>
      <c r="D63" s="316"/>
      <c r="E63" s="187">
        <v>4</v>
      </c>
      <c r="F63" s="188"/>
      <c r="G63" s="269" t="str">
        <f>IF(ISBLANK(F63),"-",(F63/$D$50*$D$47*$B$68)*($B$57/$D$60))</f>
        <v>-</v>
      </c>
      <c r="H63" s="185" t="str">
        <f t="shared" si="0"/>
        <v>-</v>
      </c>
    </row>
    <row r="64" spans="1:12" ht="26.25" customHeight="1">
      <c r="A64" s="123" t="s">
        <v>96</v>
      </c>
      <c r="B64" s="124">
        <v>1</v>
      </c>
      <c r="C64" s="311" t="s">
        <v>97</v>
      </c>
      <c r="D64" s="314">
        <v>723.43</v>
      </c>
      <c r="E64" s="181">
        <v>1</v>
      </c>
      <c r="F64" s="182">
        <v>34095755</v>
      </c>
      <c r="G64" s="270">
        <f>IF(ISBLANK(F64),"-",(F64/$D$50*$D$47*$B$68)*($B$57/$D$64))</f>
        <v>191.26305055702835</v>
      </c>
      <c r="H64" s="189">
        <f t="shared" si="0"/>
        <v>0.95631525278514173</v>
      </c>
    </row>
    <row r="65" spans="1:8" ht="26.25" customHeight="1">
      <c r="A65" s="123" t="s">
        <v>98</v>
      </c>
      <c r="B65" s="124">
        <v>1</v>
      </c>
      <c r="C65" s="312"/>
      <c r="D65" s="315"/>
      <c r="E65" s="184">
        <v>2</v>
      </c>
      <c r="F65" s="136">
        <v>34122572</v>
      </c>
      <c r="G65" s="271">
        <f>IF(ISBLANK(F65),"-",(F65/$D$50*$D$47*$B$68)*($B$57/$D$64))</f>
        <v>191.41348280957087</v>
      </c>
      <c r="H65" s="190">
        <f t="shared" si="0"/>
        <v>0.95706741404785434</v>
      </c>
    </row>
    <row r="66" spans="1:8" ht="26.25" customHeight="1">
      <c r="A66" s="123" t="s">
        <v>99</v>
      </c>
      <c r="B66" s="124">
        <v>1</v>
      </c>
      <c r="C66" s="312"/>
      <c r="D66" s="315"/>
      <c r="E66" s="184">
        <v>3</v>
      </c>
      <c r="F66" s="136">
        <v>34058159</v>
      </c>
      <c r="G66" s="271">
        <f>IF(ISBLANK(F66),"-",(F66/$D$50*$D$47*$B$68)*($B$57/$D$64))</f>
        <v>191.05215258310929</v>
      </c>
      <c r="H66" s="190">
        <f t="shared" si="0"/>
        <v>0.9552607629155464</v>
      </c>
    </row>
    <row r="67" spans="1:8" ht="27" customHeight="1">
      <c r="A67" s="123" t="s">
        <v>100</v>
      </c>
      <c r="B67" s="124">
        <v>1</v>
      </c>
      <c r="C67" s="322"/>
      <c r="D67" s="316"/>
      <c r="E67" s="187">
        <v>4</v>
      </c>
      <c r="F67" s="188"/>
      <c r="G67" s="272" t="str">
        <f>IF(ISBLANK(F67),"-",(F67/$D$50*$D$47*$B$68)*($B$57/$D$64))</f>
        <v>-</v>
      </c>
      <c r="H67" s="191" t="str">
        <f t="shared" si="0"/>
        <v>-</v>
      </c>
    </row>
    <row r="68" spans="1:8" ht="26.25" customHeight="1">
      <c r="A68" s="123" t="s">
        <v>101</v>
      </c>
      <c r="B68" s="192">
        <f>(B67/B66)*(B65/B64)*(B63/B62)*(B61/B60)*B59</f>
        <v>8333.3333333333339</v>
      </c>
      <c r="C68" s="311" t="s">
        <v>102</v>
      </c>
      <c r="D68" s="314">
        <v>853.67</v>
      </c>
      <c r="E68" s="181">
        <v>1</v>
      </c>
      <c r="F68" s="182">
        <v>39874131</v>
      </c>
      <c r="G68" s="270">
        <f>IF(ISBLANK(F68),"-",(F68/$D$50*$D$47*$B$68)*($B$57/$D$68))</f>
        <v>189.55205319623045</v>
      </c>
      <c r="H68" s="185">
        <f t="shared" si="0"/>
        <v>0.94776026598115226</v>
      </c>
    </row>
    <row r="69" spans="1:8" ht="27" customHeight="1">
      <c r="A69" s="171" t="s">
        <v>103</v>
      </c>
      <c r="B69" s="193">
        <f>(D47*B68)/B56*B57</f>
        <v>835.7125000000002</v>
      </c>
      <c r="C69" s="312"/>
      <c r="D69" s="315"/>
      <c r="E69" s="184">
        <v>2</v>
      </c>
      <c r="F69" s="136">
        <v>40036632</v>
      </c>
      <c r="G69" s="271">
        <f>IF(ISBLANK(F69),"-",(F69/$D$50*$D$47*$B$68)*($B$57/$D$68))</f>
        <v>190.32454396716261</v>
      </c>
      <c r="H69" s="185">
        <f t="shared" si="0"/>
        <v>0.95162271983581304</v>
      </c>
    </row>
    <row r="70" spans="1:8" ht="26.25" customHeight="1">
      <c r="A70" s="317" t="s">
        <v>76</v>
      </c>
      <c r="B70" s="318"/>
      <c r="C70" s="312"/>
      <c r="D70" s="315"/>
      <c r="E70" s="184">
        <v>3</v>
      </c>
      <c r="F70" s="136">
        <v>39900976</v>
      </c>
      <c r="G70" s="271">
        <f>IF(ISBLANK(F70),"-",(F70/$D$50*$D$47*$B$68)*($B$57/$D$68))</f>
        <v>189.67966788626725</v>
      </c>
      <c r="H70" s="185">
        <f t="shared" si="0"/>
        <v>0.94839833943133622</v>
      </c>
    </row>
    <row r="71" spans="1:8" ht="27" customHeight="1">
      <c r="A71" s="319"/>
      <c r="B71" s="320"/>
      <c r="C71" s="313"/>
      <c r="D71" s="316"/>
      <c r="E71" s="187">
        <v>4</v>
      </c>
      <c r="F71" s="188"/>
      <c r="G71" s="272" t="str">
        <f>IF(ISBLANK(F71),"-",(F71/$D$50*$D$47*$B$68)*($B$57/$D$68))</f>
        <v>-</v>
      </c>
      <c r="H71" s="194" t="str">
        <f t="shared" si="0"/>
        <v>-</v>
      </c>
    </row>
    <row r="72" spans="1:8" ht="26.25" customHeight="1">
      <c r="A72" s="195"/>
      <c r="B72" s="195"/>
      <c r="C72" s="195"/>
      <c r="D72" s="195"/>
      <c r="E72" s="195"/>
      <c r="F72" s="197" t="s">
        <v>69</v>
      </c>
      <c r="G72" s="277">
        <f>AVERAGE(G60:G71)</f>
        <v>190.90588867098316</v>
      </c>
      <c r="H72" s="198">
        <f>AVERAGE(H60:H71)</f>
        <v>0.95452944335491585</v>
      </c>
    </row>
    <row r="73" spans="1:8" ht="26.25" customHeight="1">
      <c r="C73" s="195"/>
      <c r="D73" s="195"/>
      <c r="E73" s="195"/>
      <c r="F73" s="199" t="s">
        <v>82</v>
      </c>
      <c r="G73" s="273">
        <f>STDEV(G60:G71)/G72</f>
        <v>4.5268310579791955E-3</v>
      </c>
      <c r="H73" s="273">
        <f>STDEV(H60:H71)/H72</f>
        <v>4.5268310579371016E-3</v>
      </c>
    </row>
    <row r="74" spans="1:8" ht="27" customHeight="1">
      <c r="A74" s="195"/>
      <c r="B74" s="195"/>
      <c r="C74" s="196"/>
      <c r="D74" s="196"/>
      <c r="E74" s="200"/>
      <c r="F74" s="201" t="s">
        <v>19</v>
      </c>
      <c r="G74" s="202">
        <f>COUNT(G60:G71)</f>
        <v>9</v>
      </c>
      <c r="H74" s="202">
        <f>COUNT(H60:H71)</f>
        <v>9</v>
      </c>
    </row>
    <row r="76" spans="1:8" ht="26.25" customHeight="1">
      <c r="A76" s="107" t="s">
        <v>104</v>
      </c>
      <c r="B76" s="203" t="s">
        <v>105</v>
      </c>
      <c r="C76" s="298" t="str">
        <f>B20</f>
        <v/>
      </c>
      <c r="D76" s="298"/>
      <c r="E76" s="204" t="s">
        <v>106</v>
      </c>
      <c r="F76" s="204"/>
      <c r="G76" s="205">
        <f>H72</f>
        <v>0.95452944335491585</v>
      </c>
      <c r="H76" s="206"/>
    </row>
    <row r="77" spans="1:8" ht="18.75">
      <c r="A77" s="106" t="s">
        <v>107</v>
      </c>
      <c r="B77" s="106" t="s">
        <v>108</v>
      </c>
    </row>
    <row r="78" spans="1:8" ht="18.75">
      <c r="A78" s="106"/>
      <c r="B78" s="106"/>
    </row>
    <row r="79" spans="1:8" ht="26.25" customHeight="1">
      <c r="A79" s="107" t="s">
        <v>3</v>
      </c>
      <c r="B79" s="321" t="str">
        <f>B26</f>
        <v>Nevirapine</v>
      </c>
      <c r="C79" s="321"/>
    </row>
    <row r="80" spans="1:8" ht="26.25" customHeight="1">
      <c r="A80" s="108" t="s">
        <v>46</v>
      </c>
      <c r="B80" s="321" t="str">
        <f>B27</f>
        <v>N1-4</v>
      </c>
      <c r="C80" s="321"/>
    </row>
    <row r="81" spans="1:12" ht="27" customHeight="1">
      <c r="A81" s="108" t="s">
        <v>5</v>
      </c>
      <c r="B81" s="207">
        <f>B28</f>
        <v>98.8</v>
      </c>
    </row>
    <row r="82" spans="1:12" s="13" customFormat="1" ht="27" customHeight="1">
      <c r="A82" s="108" t="s">
        <v>47</v>
      </c>
      <c r="B82" s="110">
        <v>0</v>
      </c>
      <c r="C82" s="300" t="s">
        <v>48</v>
      </c>
      <c r="D82" s="301"/>
      <c r="E82" s="301"/>
      <c r="F82" s="301"/>
      <c r="G82" s="302"/>
      <c r="I82" s="111"/>
      <c r="J82" s="111"/>
      <c r="K82" s="111"/>
      <c r="L82" s="111"/>
    </row>
    <row r="83" spans="1:12" s="13" customFormat="1" ht="19.5" customHeight="1">
      <c r="A83" s="108" t="s">
        <v>49</v>
      </c>
      <c r="B83" s="112">
        <f>B81-B82</f>
        <v>98.8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3" customFormat="1" ht="27" customHeight="1">
      <c r="A84" s="108" t="s">
        <v>50</v>
      </c>
      <c r="B84" s="115">
        <v>1</v>
      </c>
      <c r="C84" s="303" t="s">
        <v>109</v>
      </c>
      <c r="D84" s="304"/>
      <c r="E84" s="304"/>
      <c r="F84" s="304"/>
      <c r="G84" s="304"/>
      <c r="H84" s="305"/>
      <c r="I84" s="111"/>
      <c r="J84" s="111"/>
      <c r="K84" s="111"/>
      <c r="L84" s="111"/>
    </row>
    <row r="85" spans="1:12" s="13" customFormat="1" ht="27" customHeight="1">
      <c r="A85" s="108" t="s">
        <v>52</v>
      </c>
      <c r="B85" s="115">
        <v>1</v>
      </c>
      <c r="C85" s="303" t="s">
        <v>110</v>
      </c>
      <c r="D85" s="304"/>
      <c r="E85" s="304"/>
      <c r="F85" s="304"/>
      <c r="G85" s="304"/>
      <c r="H85" s="305"/>
      <c r="I85" s="111"/>
      <c r="J85" s="111"/>
      <c r="K85" s="111"/>
      <c r="L85" s="111"/>
    </row>
    <row r="86" spans="1:12" s="13" customFormat="1" ht="18.75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3" customFormat="1" ht="18.75">
      <c r="A87" s="108" t="s">
        <v>54</v>
      </c>
      <c r="B87" s="120">
        <f>B84/B85</f>
        <v>1</v>
      </c>
      <c r="C87" s="98" t="s">
        <v>55</v>
      </c>
      <c r="D87" s="98"/>
      <c r="E87" s="98"/>
      <c r="F87" s="98"/>
      <c r="G87" s="98"/>
      <c r="I87" s="111"/>
      <c r="J87" s="111"/>
      <c r="K87" s="111"/>
      <c r="L87" s="111"/>
    </row>
    <row r="88" spans="1:12" ht="19.5" customHeight="1">
      <c r="A88" s="106"/>
      <c r="B88" s="106"/>
    </row>
    <row r="89" spans="1:12" ht="27" customHeight="1">
      <c r="A89" s="121" t="s">
        <v>56</v>
      </c>
      <c r="B89" s="122">
        <v>25</v>
      </c>
      <c r="D89" s="208" t="s">
        <v>57</v>
      </c>
      <c r="E89" s="209"/>
      <c r="F89" s="306" t="s">
        <v>58</v>
      </c>
      <c r="G89" s="307"/>
    </row>
    <row r="90" spans="1:12" ht="27" customHeight="1">
      <c r="A90" s="123" t="s">
        <v>59</v>
      </c>
      <c r="B90" s="124">
        <v>2</v>
      </c>
      <c r="C90" s="210" t="s">
        <v>60</v>
      </c>
      <c r="D90" s="126" t="s">
        <v>61</v>
      </c>
      <c r="E90" s="127" t="s">
        <v>62</v>
      </c>
      <c r="F90" s="126" t="s">
        <v>61</v>
      </c>
      <c r="G90" s="211" t="s">
        <v>62</v>
      </c>
      <c r="I90" s="129" t="s">
        <v>63</v>
      </c>
    </row>
    <row r="91" spans="1:12" ht="26.25" customHeight="1">
      <c r="A91" s="123" t="s">
        <v>64</v>
      </c>
      <c r="B91" s="124">
        <v>100</v>
      </c>
      <c r="C91" s="212">
        <v>1</v>
      </c>
      <c r="D91" s="131">
        <v>18536634</v>
      </c>
      <c r="E91" s="132">
        <f>IF(ISBLANK(D91),"-",$D$101/$D$98*D91)</f>
        <v>18254305.607748318</v>
      </c>
      <c r="F91" s="131">
        <v>20601653</v>
      </c>
      <c r="G91" s="133">
        <f>IF(ISBLANK(F91),"-",$D$101/$F$98*F91)</f>
        <v>18185832.466486022</v>
      </c>
      <c r="I91" s="134"/>
    </row>
    <row r="92" spans="1:12" ht="26.25" customHeight="1">
      <c r="A92" s="123" t="s">
        <v>65</v>
      </c>
      <c r="B92" s="124">
        <v>1</v>
      </c>
      <c r="C92" s="196">
        <v>2</v>
      </c>
      <c r="D92" s="136">
        <v>18670832</v>
      </c>
      <c r="E92" s="137">
        <f>IF(ISBLANK(D92),"-",$D$101/$D$98*D92)</f>
        <v>18386459.660309784</v>
      </c>
      <c r="F92" s="136">
        <v>20341928</v>
      </c>
      <c r="G92" s="138">
        <f>IF(ISBLANK(F92),"-",$D$101/$F$98*F92)</f>
        <v>17956563.711335257</v>
      </c>
      <c r="I92" s="308">
        <f>ABS((F96/D96*D95)-F95)/D95</f>
        <v>1.7067345866535494E-2</v>
      </c>
    </row>
    <row r="93" spans="1:12" ht="26.25" customHeight="1">
      <c r="A93" s="123" t="s">
        <v>66</v>
      </c>
      <c r="B93" s="124">
        <v>1</v>
      </c>
      <c r="C93" s="196">
        <v>3</v>
      </c>
      <c r="D93" s="136">
        <v>18648255</v>
      </c>
      <c r="E93" s="137">
        <f>IF(ISBLANK(D93),"-",$D$101/$D$98*D93)</f>
        <v>18364226.526845202</v>
      </c>
      <c r="F93" s="136">
        <v>20415009</v>
      </c>
      <c r="G93" s="138">
        <f>IF(ISBLANK(F93),"-",$D$101/$F$98*F93)</f>
        <v>18021074.982468851</v>
      </c>
      <c r="I93" s="308"/>
    </row>
    <row r="94" spans="1:12" ht="27" customHeight="1">
      <c r="A94" s="123" t="s">
        <v>67</v>
      </c>
      <c r="B94" s="124">
        <v>1</v>
      </c>
      <c r="C94" s="213">
        <v>4</v>
      </c>
      <c r="D94" s="141"/>
      <c r="E94" s="142" t="str">
        <f>IF(ISBLANK(D94),"-",$D$101/$D$98*D94)</f>
        <v>-</v>
      </c>
      <c r="F94" s="214"/>
      <c r="G94" s="143" t="str">
        <f>IF(ISBLANK(F94),"-",$D$101/$F$98*F94)</f>
        <v>-</v>
      </c>
      <c r="I94" s="144"/>
    </row>
    <row r="95" spans="1:12" ht="27" customHeight="1">
      <c r="A95" s="123" t="s">
        <v>68</v>
      </c>
      <c r="B95" s="124">
        <v>1</v>
      </c>
      <c r="C95" s="215" t="s">
        <v>69</v>
      </c>
      <c r="D95" s="216">
        <f>AVERAGE(D91:D94)</f>
        <v>18618573.666666668</v>
      </c>
      <c r="E95" s="147">
        <f>AVERAGE(E91:E94)</f>
        <v>18334997.264967769</v>
      </c>
      <c r="F95" s="217">
        <f>AVERAGE(F91:F94)</f>
        <v>20452863.333333332</v>
      </c>
      <c r="G95" s="218">
        <f>AVERAGE(G91:G94)</f>
        <v>18054490.386763375</v>
      </c>
    </row>
    <row r="96" spans="1:12" ht="26.25" customHeight="1">
      <c r="A96" s="123" t="s">
        <v>70</v>
      </c>
      <c r="B96" s="109">
        <v>1</v>
      </c>
      <c r="C96" s="219" t="s">
        <v>111</v>
      </c>
      <c r="D96" s="220">
        <f>D43</f>
        <v>11.42</v>
      </c>
      <c r="E96" s="139"/>
      <c r="F96" s="151">
        <f>F43</f>
        <v>12.74</v>
      </c>
    </row>
    <row r="97" spans="1:10" ht="26.25" customHeight="1">
      <c r="A97" s="123" t="s">
        <v>72</v>
      </c>
      <c r="B97" s="109">
        <v>1</v>
      </c>
      <c r="C97" s="221" t="s">
        <v>112</v>
      </c>
      <c r="D97" s="222">
        <f>D96*$B$87</f>
        <v>11.42</v>
      </c>
      <c r="E97" s="154"/>
      <c r="F97" s="153">
        <f>F96*$B$87</f>
        <v>12.74</v>
      </c>
    </row>
    <row r="98" spans="1:10" ht="19.5" customHeight="1">
      <c r="A98" s="123" t="s">
        <v>74</v>
      </c>
      <c r="B98" s="223">
        <f>(B97/B96)*(B95/B94)*(B93/B92)*(B91/B90)*B89</f>
        <v>1250</v>
      </c>
      <c r="C98" s="221" t="s">
        <v>113</v>
      </c>
      <c r="D98" s="224">
        <f>D97*$B$83/100</f>
        <v>11.282960000000001</v>
      </c>
      <c r="E98" s="157"/>
      <c r="F98" s="156">
        <f>F97*$B$83/100</f>
        <v>12.587120000000001</v>
      </c>
    </row>
    <row r="99" spans="1:10" ht="19.5" customHeight="1">
      <c r="A99" s="294" t="s">
        <v>76</v>
      </c>
      <c r="B99" s="309"/>
      <c r="C99" s="221" t="s">
        <v>114</v>
      </c>
      <c r="D99" s="225">
        <f>D98/$B$98</f>
        <v>9.0263680000000016E-3</v>
      </c>
      <c r="E99" s="157"/>
      <c r="F99" s="160">
        <f>F98/$B$98</f>
        <v>1.0069696000000001E-2</v>
      </c>
      <c r="G99" s="226"/>
      <c r="H99" s="149"/>
    </row>
    <row r="100" spans="1:10" ht="19.5" customHeight="1">
      <c r="A100" s="296"/>
      <c r="B100" s="310"/>
      <c r="C100" s="221" t="s">
        <v>78</v>
      </c>
      <c r="D100" s="227">
        <f>$B$56/$B$116</f>
        <v>8.8888888888888889E-3</v>
      </c>
      <c r="F100" s="165"/>
      <c r="G100" s="228"/>
      <c r="H100" s="149"/>
    </row>
    <row r="101" spans="1:10" ht="18.75">
      <c r="C101" s="221" t="s">
        <v>79</v>
      </c>
      <c r="D101" s="222">
        <f>D100*$B$98</f>
        <v>11.111111111111111</v>
      </c>
      <c r="F101" s="165"/>
      <c r="G101" s="226"/>
      <c r="H101" s="149"/>
    </row>
    <row r="102" spans="1:10" ht="19.5" customHeight="1">
      <c r="C102" s="229" t="s">
        <v>80</v>
      </c>
      <c r="D102" s="230">
        <f>D101/B34</f>
        <v>11.111111111111111</v>
      </c>
      <c r="F102" s="169"/>
      <c r="G102" s="226"/>
      <c r="H102" s="149"/>
      <c r="J102" s="231"/>
    </row>
    <row r="103" spans="1:10" ht="18.75">
      <c r="C103" s="232" t="s">
        <v>115</v>
      </c>
      <c r="D103" s="233">
        <f>AVERAGE(E91:E94,G91:G94)</f>
        <v>18194743.82586557</v>
      </c>
      <c r="F103" s="169"/>
      <c r="G103" s="234"/>
      <c r="H103" s="149"/>
      <c r="J103" s="235"/>
    </row>
    <row r="104" spans="1:10" ht="18.75">
      <c r="C104" s="199" t="s">
        <v>82</v>
      </c>
      <c r="D104" s="236">
        <f>STDEV(E91:E94,G91:G94)/D103</f>
        <v>9.7079420444070048E-3</v>
      </c>
      <c r="F104" s="169"/>
      <c r="G104" s="226"/>
      <c r="H104" s="149"/>
      <c r="J104" s="235"/>
    </row>
    <row r="105" spans="1:10" ht="19.5" customHeight="1">
      <c r="C105" s="201" t="s">
        <v>19</v>
      </c>
      <c r="D105" s="237">
        <f>COUNT(E91:E94,G91:G94)</f>
        <v>6</v>
      </c>
      <c r="F105" s="169"/>
      <c r="G105" s="226"/>
      <c r="H105" s="149"/>
      <c r="J105" s="235"/>
    </row>
    <row r="106" spans="1:10" ht="19.5" customHeight="1">
      <c r="A106" s="173"/>
      <c r="B106" s="173"/>
      <c r="C106" s="173"/>
      <c r="D106" s="173"/>
      <c r="E106" s="173"/>
    </row>
    <row r="107" spans="1:10" ht="26.25" customHeight="1">
      <c r="A107" s="121" t="s">
        <v>116</v>
      </c>
      <c r="B107" s="122">
        <v>900</v>
      </c>
      <c r="C107" s="238" t="s">
        <v>117</v>
      </c>
      <c r="D107" s="239" t="s">
        <v>61</v>
      </c>
      <c r="E107" s="240" t="s">
        <v>118</v>
      </c>
      <c r="F107" s="241" t="s">
        <v>119</v>
      </c>
    </row>
    <row r="108" spans="1:10" ht="26.25" customHeight="1">
      <c r="A108" s="123" t="s">
        <v>120</v>
      </c>
      <c r="B108" s="124">
        <v>2</v>
      </c>
      <c r="C108" s="242">
        <v>1</v>
      </c>
      <c r="D108" s="243">
        <v>18483182</v>
      </c>
      <c r="E108" s="274">
        <f t="shared" ref="E108:E113" si="1">IF(ISBLANK(D108),"-",D108/$D$103*$D$100*$B$116)</f>
        <v>203.17056592711558</v>
      </c>
      <c r="F108" s="244">
        <f t="shared" ref="F108:F113" si="2">IF(ISBLANK(D108), "-", E108/$B$56)</f>
        <v>1.0158528296355778</v>
      </c>
    </row>
    <row r="109" spans="1:10" ht="26.25" customHeight="1">
      <c r="A109" s="123" t="s">
        <v>93</v>
      </c>
      <c r="B109" s="124">
        <v>50</v>
      </c>
      <c r="C109" s="242">
        <v>2</v>
      </c>
      <c r="D109" s="243">
        <v>17335046</v>
      </c>
      <c r="E109" s="275">
        <f t="shared" si="1"/>
        <v>190.55004198912187</v>
      </c>
      <c r="F109" s="245">
        <f t="shared" si="2"/>
        <v>0.95275020994560933</v>
      </c>
    </row>
    <row r="110" spans="1:10" ht="26.25" customHeight="1">
      <c r="A110" s="123" t="s">
        <v>94</v>
      </c>
      <c r="B110" s="124">
        <v>1</v>
      </c>
      <c r="C110" s="242">
        <v>3</v>
      </c>
      <c r="D110" s="243">
        <v>18871094</v>
      </c>
      <c r="E110" s="275">
        <f t="shared" si="1"/>
        <v>207.43456660459196</v>
      </c>
      <c r="F110" s="245">
        <f t="shared" si="2"/>
        <v>1.0371728330229599</v>
      </c>
    </row>
    <row r="111" spans="1:10" ht="26.25" customHeight="1">
      <c r="A111" s="123" t="s">
        <v>95</v>
      </c>
      <c r="B111" s="124">
        <v>1</v>
      </c>
      <c r="C111" s="242">
        <v>4</v>
      </c>
      <c r="D111" s="243">
        <v>18965612</v>
      </c>
      <c r="E111" s="275">
        <f t="shared" si="1"/>
        <v>208.47352599753088</v>
      </c>
      <c r="F111" s="245">
        <f t="shared" si="2"/>
        <v>1.0423676299876545</v>
      </c>
    </row>
    <row r="112" spans="1:10" ht="26.25" customHeight="1">
      <c r="A112" s="123" t="s">
        <v>96</v>
      </c>
      <c r="B112" s="124">
        <v>1</v>
      </c>
      <c r="C112" s="242">
        <v>5</v>
      </c>
      <c r="D112" s="243">
        <v>16999597</v>
      </c>
      <c r="E112" s="275">
        <f t="shared" si="1"/>
        <v>186.86272434166887</v>
      </c>
      <c r="F112" s="245">
        <f t="shared" si="2"/>
        <v>0.93431362170834431</v>
      </c>
    </row>
    <row r="113" spans="1:10" ht="26.25" customHeight="1">
      <c r="A113" s="123" t="s">
        <v>98</v>
      </c>
      <c r="B113" s="124">
        <v>1</v>
      </c>
      <c r="C113" s="246">
        <v>6</v>
      </c>
      <c r="D113" s="247">
        <v>19212887</v>
      </c>
      <c r="E113" s="276">
        <f t="shared" si="1"/>
        <v>211.19161867711531</v>
      </c>
      <c r="F113" s="248">
        <f t="shared" si="2"/>
        <v>1.0559580933855766</v>
      </c>
    </row>
    <row r="114" spans="1:10" ht="26.25" customHeight="1">
      <c r="A114" s="123" t="s">
        <v>99</v>
      </c>
      <c r="B114" s="124">
        <v>1</v>
      </c>
      <c r="C114" s="242"/>
      <c r="D114" s="196"/>
      <c r="E114" s="97"/>
      <c r="F114" s="249"/>
    </row>
    <row r="115" spans="1:10" ht="26.25" customHeight="1">
      <c r="A115" s="123" t="s">
        <v>100</v>
      </c>
      <c r="B115" s="124">
        <v>1</v>
      </c>
      <c r="C115" s="242"/>
      <c r="D115" s="250" t="s">
        <v>69</v>
      </c>
      <c r="E115" s="278">
        <f>AVERAGE(E108:E113)</f>
        <v>201.28050725619073</v>
      </c>
      <c r="F115" s="251">
        <f>AVERAGE(F108:F113)</f>
        <v>1.0064025362809537</v>
      </c>
    </row>
    <row r="116" spans="1:10" ht="27" customHeight="1">
      <c r="A116" s="123" t="s">
        <v>101</v>
      </c>
      <c r="B116" s="155">
        <f>(B115/B114)*(B113/B112)*(B111/B110)*(B109/B108)*B107</f>
        <v>22500</v>
      </c>
      <c r="C116" s="252"/>
      <c r="D116" s="215" t="s">
        <v>82</v>
      </c>
      <c r="E116" s="253">
        <f>STDEV(E108:E113)/E115</f>
        <v>5.039370905520154E-2</v>
      </c>
      <c r="F116" s="253">
        <f>STDEV(F108:F113)/F115</f>
        <v>5.0393709055201082E-2</v>
      </c>
      <c r="I116" s="97"/>
    </row>
    <row r="117" spans="1:10" ht="27" customHeight="1">
      <c r="A117" s="294" t="s">
        <v>76</v>
      </c>
      <c r="B117" s="295"/>
      <c r="C117" s="254"/>
      <c r="D117" s="255" t="s">
        <v>19</v>
      </c>
      <c r="E117" s="256">
        <f>COUNT(E108:E113)</f>
        <v>6</v>
      </c>
      <c r="F117" s="256">
        <f>COUNT(F108:F113)</f>
        <v>6</v>
      </c>
      <c r="I117" s="97"/>
      <c r="J117" s="235"/>
    </row>
    <row r="118" spans="1:10" ht="19.5" customHeight="1">
      <c r="A118" s="296"/>
      <c r="B118" s="297"/>
      <c r="C118" s="97"/>
      <c r="D118" s="97"/>
      <c r="E118" s="97"/>
      <c r="F118" s="196"/>
      <c r="G118" s="97"/>
      <c r="H118" s="97"/>
      <c r="I118" s="97"/>
    </row>
    <row r="119" spans="1:10" ht="18.75">
      <c r="A119" s="265"/>
      <c r="B119" s="119"/>
      <c r="C119" s="97"/>
      <c r="D119" s="97"/>
      <c r="E119" s="97"/>
      <c r="F119" s="196"/>
      <c r="G119" s="97"/>
      <c r="H119" s="97"/>
      <c r="I119" s="97"/>
    </row>
    <row r="120" spans="1:10" ht="26.25" customHeight="1">
      <c r="A120" s="107" t="s">
        <v>104</v>
      </c>
      <c r="B120" s="203" t="s">
        <v>121</v>
      </c>
      <c r="C120" s="298" t="str">
        <f>B20</f>
        <v/>
      </c>
      <c r="D120" s="298"/>
      <c r="E120" s="204" t="s">
        <v>122</v>
      </c>
      <c r="F120" s="204"/>
      <c r="G120" s="205">
        <f>F115</f>
        <v>1.0064025362809537</v>
      </c>
      <c r="H120" s="97"/>
      <c r="I120" s="97"/>
    </row>
    <row r="121" spans="1:10" ht="19.5" customHeight="1">
      <c r="A121" s="257"/>
      <c r="B121" s="257"/>
      <c r="C121" s="258"/>
      <c r="D121" s="258"/>
      <c r="E121" s="258"/>
      <c r="F121" s="258"/>
      <c r="G121" s="258"/>
      <c r="H121" s="258"/>
    </row>
    <row r="122" spans="1:10" ht="18.75">
      <c r="B122" s="299" t="s">
        <v>24</v>
      </c>
      <c r="C122" s="299"/>
      <c r="E122" s="210" t="s">
        <v>25</v>
      </c>
      <c r="F122" s="259"/>
      <c r="G122" s="299" t="s">
        <v>26</v>
      </c>
      <c r="H122" s="299"/>
    </row>
    <row r="123" spans="1:10" ht="69.95" customHeight="1">
      <c r="A123" s="260" t="s">
        <v>27</v>
      </c>
      <c r="B123" s="261"/>
      <c r="C123" s="261"/>
      <c r="E123" s="261"/>
      <c r="F123" s="97"/>
      <c r="G123" s="262"/>
      <c r="H123" s="262"/>
    </row>
    <row r="124" spans="1:10" ht="69.95" customHeight="1">
      <c r="A124" s="260" t="s">
        <v>28</v>
      </c>
      <c r="B124" s="263"/>
      <c r="C124" s="263"/>
      <c r="E124" s="263"/>
      <c r="F124" s="97"/>
      <c r="G124" s="264"/>
      <c r="H124" s="264"/>
    </row>
    <row r="125" spans="1:10" ht="18.75">
      <c r="A125" s="195"/>
      <c r="B125" s="195"/>
      <c r="C125" s="196"/>
      <c r="D125" s="196"/>
      <c r="E125" s="196"/>
      <c r="F125" s="200"/>
      <c r="G125" s="196"/>
      <c r="H125" s="196"/>
      <c r="I125" s="97"/>
    </row>
    <row r="126" spans="1:10" ht="18.75">
      <c r="A126" s="195"/>
      <c r="B126" s="195"/>
      <c r="C126" s="196"/>
      <c r="D126" s="196"/>
      <c r="E126" s="196"/>
      <c r="F126" s="200"/>
      <c r="G126" s="196"/>
      <c r="H126" s="196"/>
      <c r="I126" s="97"/>
    </row>
    <row r="127" spans="1:10" ht="18.75">
      <c r="A127" s="195"/>
      <c r="B127" s="195"/>
      <c r="C127" s="196"/>
      <c r="D127" s="196"/>
      <c r="E127" s="196"/>
      <c r="F127" s="200"/>
      <c r="G127" s="196"/>
      <c r="H127" s="196"/>
      <c r="I127" s="97"/>
    </row>
    <row r="128" spans="1:10" ht="18.75">
      <c r="A128" s="195"/>
      <c r="B128" s="195"/>
      <c r="C128" s="196"/>
      <c r="D128" s="196"/>
      <c r="E128" s="196"/>
      <c r="F128" s="200"/>
      <c r="G128" s="196"/>
      <c r="H128" s="196"/>
      <c r="I128" s="97"/>
    </row>
    <row r="129" spans="1:9" ht="18.75">
      <c r="A129" s="195"/>
      <c r="B129" s="195"/>
      <c r="C129" s="196"/>
      <c r="D129" s="196"/>
      <c r="E129" s="196"/>
      <c r="F129" s="200"/>
      <c r="G129" s="196"/>
      <c r="H129" s="196"/>
      <c r="I129" s="97"/>
    </row>
    <row r="130" spans="1:9" ht="18.75">
      <c r="A130" s="195"/>
      <c r="B130" s="195"/>
      <c r="C130" s="196"/>
      <c r="D130" s="196"/>
      <c r="E130" s="196"/>
      <c r="F130" s="200"/>
      <c r="G130" s="196"/>
      <c r="H130" s="196"/>
      <c r="I130" s="97"/>
    </row>
    <row r="131" spans="1:9" ht="18.75">
      <c r="A131" s="195"/>
      <c r="B131" s="195"/>
      <c r="C131" s="196"/>
      <c r="D131" s="196"/>
      <c r="E131" s="196"/>
      <c r="F131" s="200"/>
      <c r="G131" s="196"/>
      <c r="H131" s="196"/>
      <c r="I131" s="97"/>
    </row>
    <row r="132" spans="1:9" ht="18.75">
      <c r="A132" s="195"/>
      <c r="B132" s="195"/>
      <c r="C132" s="196"/>
      <c r="D132" s="196"/>
      <c r="E132" s="196"/>
      <c r="F132" s="200"/>
      <c r="G132" s="196"/>
      <c r="H132" s="196"/>
      <c r="I132" s="97"/>
    </row>
    <row r="133" spans="1:9" ht="18.75">
      <c r="A133" s="195"/>
      <c r="B133" s="195"/>
      <c r="C133" s="196"/>
      <c r="D133" s="196"/>
      <c r="E133" s="196"/>
      <c r="F133" s="200"/>
      <c r="G133" s="196"/>
      <c r="H133" s="196"/>
      <c r="I133" s="97"/>
    </row>
    <row r="250" spans="1:1">
      <c r="A250" s="2">
        <v>5</v>
      </c>
    </row>
  </sheetData>
  <sheetProtection password="F258" sheet="1" objects="1" scenarios="1" formatCells="0" formatColumn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Uniformity</vt:lpstr>
      <vt:lpstr>SST</vt:lpstr>
      <vt:lpstr>Nevirapine</vt:lpstr>
      <vt:lpstr>Nevirapine!Print_Area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Joyfrida</cp:lastModifiedBy>
  <cp:lastPrinted>2016-08-09T11:36:15Z</cp:lastPrinted>
  <dcterms:created xsi:type="dcterms:W3CDTF">2005-07-05T10:19:27Z</dcterms:created>
  <dcterms:modified xsi:type="dcterms:W3CDTF">2016-08-12T09:01:06Z</dcterms:modified>
</cp:coreProperties>
</file>