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Dr Sarah Mwangi\October\"/>
    </mc:Choice>
  </mc:AlternateContent>
  <bookViews>
    <workbookView xWindow="510" yWindow="525" windowWidth="15015" windowHeight="7620" firstSheet="1" activeTab="4"/>
  </bookViews>
  <sheets>
    <sheet name="Uniformity" sheetId="23" r:id="rId1"/>
    <sheet name="SST TDF" sheetId="21" r:id="rId2"/>
    <sheet name="Tenofovir Disoproxil Fumarate" sheetId="18" r:id="rId3"/>
    <sheet name="SST lam" sheetId="17" r:id="rId4"/>
    <sheet name="Lamivudine" sheetId="19" r:id="rId5"/>
    <sheet name="SST Efav" sheetId="22" r:id="rId6"/>
    <sheet name="EFFAVIRENZ" sheetId="20" r:id="rId7"/>
  </sheets>
  <definedNames>
    <definedName name="_xlnm.Print_Area" localSheetId="6">EFFAVIRENZ!$A$1:$I$125</definedName>
    <definedName name="_xlnm.Print_Area" localSheetId="4">Lamivudine!$A$1:$H$126</definedName>
    <definedName name="_xlnm.Print_Area" localSheetId="2">'Tenofovir Disoproxil Fumarate'!$A$1:$H$126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C46" i="23" l="1"/>
  <c r="C50" i="23" s="1"/>
  <c r="C45" i="23"/>
  <c r="C19" i="23"/>
  <c r="D25" i="23" l="1"/>
  <c r="B57" i="18"/>
  <c r="D29" i="23"/>
  <c r="D24" i="23"/>
  <c r="D28" i="23"/>
  <c r="D32" i="23"/>
  <c r="D36" i="23"/>
  <c r="D40" i="23"/>
  <c r="D49" i="23"/>
  <c r="D27" i="23"/>
  <c r="D31" i="23"/>
  <c r="D35" i="23"/>
  <c r="D39" i="23"/>
  <c r="D43" i="23"/>
  <c r="C49" i="23"/>
  <c r="D26" i="23"/>
  <c r="D30" i="23"/>
  <c r="D34" i="23"/>
  <c r="D38" i="23"/>
  <c r="D42" i="23"/>
  <c r="B49" i="23"/>
  <c r="D50" i="23"/>
  <c r="D33" i="23"/>
  <c r="D37" i="23"/>
  <c r="D41" i="23"/>
  <c r="B57" i="20" l="1"/>
  <c r="B57" i="19"/>
  <c r="B6" i="22"/>
  <c r="B8" i="17"/>
  <c r="B6" i="21"/>
  <c r="B27" i="22"/>
  <c r="B28" i="22" s="1"/>
  <c r="B19" i="20"/>
  <c r="B19" i="19"/>
  <c r="B23" i="20" l="1"/>
  <c r="B22" i="20"/>
  <c r="B23" i="19"/>
  <c r="B22" i="19"/>
  <c r="B27" i="21"/>
  <c r="B28" i="21" s="1"/>
  <c r="B7" i="22"/>
  <c r="B29" i="17"/>
  <c r="B30" i="17" s="1"/>
  <c r="B9" i="17"/>
  <c r="B25" i="21"/>
  <c r="B7" i="21"/>
  <c r="D68" i="19"/>
  <c r="D68" i="20" s="1"/>
  <c r="D64" i="19"/>
  <c r="D64" i="20" s="1"/>
  <c r="D60" i="19"/>
  <c r="D60" i="20" s="1"/>
  <c r="B39" i="22" l="1"/>
  <c r="E37" i="22"/>
  <c r="D37" i="22"/>
  <c r="C37" i="22"/>
  <c r="B37" i="22"/>
  <c r="B38" i="22" s="1"/>
  <c r="B18" i="22"/>
  <c r="E16" i="22"/>
  <c r="D16" i="22"/>
  <c r="C16" i="22"/>
  <c r="B16" i="22"/>
  <c r="B17" i="22" s="1"/>
  <c r="B39" i="21"/>
  <c r="E37" i="21"/>
  <c r="D37" i="21"/>
  <c r="C37" i="21"/>
  <c r="B37" i="21"/>
  <c r="B38" i="21" s="1"/>
  <c r="B18" i="21"/>
  <c r="E16" i="21"/>
  <c r="D16" i="21"/>
  <c r="C16" i="21"/>
  <c r="B16" i="21"/>
  <c r="B17" i="21" s="1"/>
  <c r="C120" i="20"/>
  <c r="B116" i="20"/>
  <c r="D100" i="20" s="1"/>
  <c r="B98" i="20"/>
  <c r="F95" i="20"/>
  <c r="D95" i="20"/>
  <c r="I92" i="20" s="1"/>
  <c r="G94" i="20"/>
  <c r="E94" i="20"/>
  <c r="B87" i="20"/>
  <c r="F97" i="20" s="1"/>
  <c r="B81" i="20"/>
  <c r="B83" i="20" s="1"/>
  <c r="B80" i="20"/>
  <c r="B79" i="20"/>
  <c r="C76" i="20"/>
  <c r="H71" i="20"/>
  <c r="G71" i="20"/>
  <c r="B68" i="20"/>
  <c r="B69" i="20" s="1"/>
  <c r="H67" i="20"/>
  <c r="G67" i="20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F45" i="20" s="1"/>
  <c r="B30" i="20"/>
  <c r="C120" i="19"/>
  <c r="B116" i="19"/>
  <c r="D100" i="19"/>
  <c r="B98" i="19"/>
  <c r="F95" i="19"/>
  <c r="D95" i="19"/>
  <c r="G94" i="19"/>
  <c r="E94" i="19"/>
  <c r="I92" i="19"/>
  <c r="B87" i="19"/>
  <c r="F97" i="19" s="1"/>
  <c r="B83" i="19"/>
  <c r="B79" i="19"/>
  <c r="C76" i="19"/>
  <c r="H71" i="19"/>
  <c r="G71" i="19"/>
  <c r="B68" i="19"/>
  <c r="H67" i="19"/>
  <c r="G67" i="19"/>
  <c r="H63" i="19"/>
  <c r="G63" i="19"/>
  <c r="B69" i="19"/>
  <c r="C56" i="19"/>
  <c r="B55" i="19"/>
  <c r="B45" i="19"/>
  <c r="D48" i="19" s="1"/>
  <c r="F42" i="19"/>
  <c r="D42" i="19"/>
  <c r="G41" i="19"/>
  <c r="E41" i="19"/>
  <c r="B34" i="19"/>
  <c r="F44" i="19" s="1"/>
  <c r="F45" i="19" s="1"/>
  <c r="B30" i="19"/>
  <c r="C120" i="18"/>
  <c r="B116" i="18"/>
  <c r="D100" i="18"/>
  <c r="D101" i="18" s="1"/>
  <c r="B98" i="18"/>
  <c r="F95" i="18"/>
  <c r="D95" i="18"/>
  <c r="G94" i="18"/>
  <c r="E94" i="18"/>
  <c r="B87" i="18"/>
  <c r="F97" i="18" s="1"/>
  <c r="F98" i="18" s="1"/>
  <c r="B81" i="18"/>
  <c r="B83" i="18" s="1"/>
  <c r="B80" i="18"/>
  <c r="B79" i="18"/>
  <c r="C76" i="18"/>
  <c r="H71" i="18"/>
  <c r="G71" i="18"/>
  <c r="B68" i="18"/>
  <c r="H67" i="18"/>
  <c r="G67" i="18"/>
  <c r="H63" i="18"/>
  <c r="G63" i="18"/>
  <c r="B69" i="18"/>
  <c r="C56" i="18"/>
  <c r="B55" i="18"/>
  <c r="B45" i="18"/>
  <c r="D48" i="18" s="1"/>
  <c r="F42" i="18"/>
  <c r="D42" i="18"/>
  <c r="G41" i="18"/>
  <c r="E41" i="18"/>
  <c r="B34" i="18"/>
  <c r="F44" i="18" s="1"/>
  <c r="F45" i="18" s="1"/>
  <c r="F46" i="18" s="1"/>
  <c r="B30" i="18"/>
  <c r="B41" i="17"/>
  <c r="E39" i="17"/>
  <c r="D39" i="17"/>
  <c r="C39" i="17"/>
  <c r="B39" i="17"/>
  <c r="B40" i="17" s="1"/>
  <c r="B20" i="17"/>
  <c r="E18" i="17"/>
  <c r="D18" i="17"/>
  <c r="C18" i="17"/>
  <c r="B18" i="17"/>
  <c r="B19" i="17" s="1"/>
  <c r="D101" i="20" l="1"/>
  <c r="I92" i="18"/>
  <c r="F98" i="20"/>
  <c r="G91" i="20" s="1"/>
  <c r="D101" i="19"/>
  <c r="F99" i="18"/>
  <c r="I39" i="20"/>
  <c r="I39" i="19"/>
  <c r="F46" i="20"/>
  <c r="F46" i="19"/>
  <c r="I39" i="18"/>
  <c r="D102" i="19"/>
  <c r="G92" i="18"/>
  <c r="D102" i="18"/>
  <c r="G93" i="18"/>
  <c r="G91" i="18"/>
  <c r="F98" i="19"/>
  <c r="F99" i="19" s="1"/>
  <c r="G39" i="20"/>
  <c r="G40" i="20"/>
  <c r="D49" i="20"/>
  <c r="G38" i="20"/>
  <c r="G39" i="19"/>
  <c r="G40" i="19"/>
  <c r="D49" i="19"/>
  <c r="G38" i="19"/>
  <c r="D102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G93" i="20" l="1"/>
  <c r="F99" i="20"/>
  <c r="G92" i="20"/>
  <c r="G95" i="20" s="1"/>
  <c r="G92" i="19"/>
  <c r="E92" i="20"/>
  <c r="G95" i="18"/>
  <c r="E93" i="19"/>
  <c r="G93" i="19"/>
  <c r="E39" i="20"/>
  <c r="E38" i="20"/>
  <c r="G42" i="19"/>
  <c r="G42" i="18"/>
  <c r="E91" i="20"/>
  <c r="E40" i="20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G95" i="19" l="1"/>
  <c r="E42" i="20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G61" i="20"/>
  <c r="H61" i="20" s="1"/>
  <c r="D50" i="18"/>
  <c r="E42" i="18"/>
  <c r="D52" i="18"/>
  <c r="D103" i="20"/>
  <c r="E95" i="20"/>
  <c r="D105" i="20"/>
  <c r="G70" i="20" l="1"/>
  <c r="H70" i="20" s="1"/>
  <c r="G66" i="20"/>
  <c r="H66" i="20" s="1"/>
  <c r="G64" i="20"/>
  <c r="H64" i="20" s="1"/>
  <c r="G62" i="20"/>
  <c r="H62" i="20" s="1"/>
  <c r="G68" i="20"/>
  <c r="H68" i="20" s="1"/>
  <c r="G60" i="20"/>
  <c r="H60" i="20" s="1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4" i="20" l="1"/>
  <c r="G72" i="20"/>
  <c r="G73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H74" i="20"/>
  <c r="H72" i="20"/>
  <c r="E117" i="20"/>
  <c r="F108" i="20"/>
  <c r="E115" i="20"/>
  <c r="E116" i="20" s="1"/>
  <c r="E117" i="19"/>
  <c r="F108" i="19"/>
  <c r="E115" i="19"/>
  <c r="E116" i="19" s="1"/>
  <c r="F117" i="19" l="1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<sst xmlns="http://schemas.openxmlformats.org/spreadsheetml/2006/main" count="642" uniqueCount="136">
  <si>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</si>
  <si>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</si>
  <si>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</si>
  <si>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</si>
  <si>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</si>
  <si>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</si>
  <si>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</si>
  <si>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</si>
  <si>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</si>
  <si>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</si>
  <si>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</si>
  <si>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</si>
  <si>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</si>
  <si>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</si>
  <si>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</si>
  <si>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</si>
  <si>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</si>
  <si>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</si>
  <si>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</si>
  <si>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</si>
  <si>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</si>
  <si>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</si>
  <si>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</si>
  <si>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</si>
  <si>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</si>
  <si>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</si>
  <si>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</si>
  <si>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</si>
  <si>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</si>
  <si>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</si>
  <si>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</si>
  <si>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</si>
  <si>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</si>
  <si>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</si>
  <si>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</si>
  <si>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</si>
  <si>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</si>
  <si>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</si>
  <si>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</si>
  <si>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</si>
  <si>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</si>
  <si>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</si>
  <si>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</si>
  <si>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</si>
  <si>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</si>
  <si>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</si>
  <si>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</si>
  <si>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</si>
  <si>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</si>
  <si>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</si>
  <si>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</si>
  <si>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</si>
  <si>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</si>
  <si>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</si>
  <si>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</si>
  <si>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</si>
  <si>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</si>
  <si>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</si>
  <si>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</si>
  <si>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</si>
  <si>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</si>
  <si>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</si>
  <si>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</si>
  <si>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</si>
  <si>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</si>
  <si>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</si>
  <si>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</si>
  <si>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</si>
  <si>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</si>
  <si>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</si>
  <si>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</si>
  <si>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</si>
  <si>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</si>
  <si>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</si>
  <si>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</si>
  <si>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</si>
  <si>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</si>
  <si>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</si>
  <si>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</si>
  <si>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</si>
  <si>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</si>
  <si>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</si>
  <si>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</si>
  <si>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</si>
  <si>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</si>
  <si>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</si>
  <si>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</si>
  <si>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</si>
  <si>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</si>
  <si>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</si>
  <si>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</si>
  <si>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</si>
  <si>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</si>
  <si>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</si>
  <si>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</si>
  <si>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</si>
  <si>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</si>
  <si>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</si>
  <si>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</si>
  <si>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</si>
  <si>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</si>
  <si>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</si>
  <si>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</si>
  <si>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</si>
  <si>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</si>
  <si>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</si>
  <si>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</si>
  <si>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</si>
  <si>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</si>
  <si>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</si>
  <si>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</si>
  <si>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</si>
  <si>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</si>
  <si>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</si>
  <si>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</si>
  <si>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</si>
  <si>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</si>
  <si>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</si>
  <si>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</si>
  <si>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</si>
  <si>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</si>
  <si>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</si>
  <si>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</si>
  <si>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</si>
  <si>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Tenofovir Disoproxil Fumurate</t>
  </si>
  <si>
    <t>T11-8</t>
  </si>
  <si>
    <t>Lamivudine</t>
  </si>
  <si>
    <t>Effavirenz</t>
  </si>
  <si>
    <t>Efavirenz</t>
  </si>
  <si>
    <t>Tenofovir DF</t>
  </si>
  <si>
    <t>L3-10</t>
  </si>
  <si>
    <t>E15-3</t>
  </si>
  <si>
    <t>NDQB201607043</t>
  </si>
  <si>
    <t>Tenofovir Disoproxil Fumarate, Lamivudine, Efavirenz</t>
  </si>
  <si>
    <t>Each film coated tablets contain Tenofovir Disoproxil Fumarate 3oo mg, lamivudine USP 300 mg, Efavirenz 300 mg</t>
  </si>
  <si>
    <t>2016-07-26 15:11:52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</si>
</sst>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3" fillId="2" borderId="0"/>
    <xf numFmtId="0" fontId="21" fillId="2" borderId="0"/>
    <xf numFmtId="0" fontId="21" fillId="2" borderId="0"/>
    <xf numFmtId="0" fontId="21" fillId="2" borderId="0"/>
  </cellStyleXfs>
  <cellXfs count="811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22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0" xfId="3" applyFont="1" applyFill="1"/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22" fontId="6" fillId="2" borderId="0" xfId="3" applyNumberFormat="1" applyFont="1" applyFill="1"/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2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2" fillId="2" borderId="0" xfId="6" applyFont="1" applyFill="1"/>
    <xf numFmtId="0" fontId="4" fillId="2" borderId="0" xfId="6" applyFont="1" applyFill="1"/>
    <xf numFmtId="0" fontId="4" fillId="2" borderId="0" xfId="6" applyFont="1" applyFill="1" applyAlignment="1">
      <alignment horizontal="left"/>
    </xf>
    <xf numFmtId="0" fontId="5" fillId="2" borderId="0" xfId="6" applyFont="1" applyFill="1" applyAlignment="1">
      <alignment horizontal="left"/>
    </xf>
    <xf numFmtId="0" fontId="5" fillId="2" borderId="0" xfId="6" applyFont="1" applyFill="1" applyAlignment="1">
      <alignment horizontal="center"/>
    </xf>
    <xf numFmtId="0" fontId="6" fillId="2" borderId="0" xfId="6" applyFont="1" applyFill="1"/>
    <xf numFmtId="0" fontId="5" fillId="2" borderId="0" xfId="6" applyFont="1" applyFill="1"/>
    <xf numFmtId="2" fontId="5" fillId="2" borderId="0" xfId="6" applyNumberFormat="1" applyFont="1" applyFill="1" applyAlignment="1">
      <alignment horizontal="center"/>
    </xf>
    <xf numFmtId="164" fontId="5" fillId="2" borderId="0" xfId="6" applyNumberFormat="1" applyFont="1" applyFill="1" applyAlignment="1">
      <alignment horizontal="center"/>
    </xf>
    <xf numFmtId="22" fontId="6" fillId="2" borderId="0" xfId="6" applyNumberFormat="1" applyFont="1" applyFill="1"/>
    <xf numFmtId="0" fontId="5" fillId="2" borderId="1" xfId="6" applyFont="1" applyFill="1" applyBorder="1" applyAlignment="1">
      <alignment horizontal="center"/>
    </xf>
    <xf numFmtId="0" fontId="5" fillId="2" borderId="2" xfId="6" applyFont="1" applyFill="1" applyBorder="1" applyAlignment="1">
      <alignment horizontal="center"/>
    </xf>
    <xf numFmtId="0" fontId="6" fillId="2" borderId="3" xfId="6" applyFont="1" applyFill="1" applyBorder="1" applyAlignment="1">
      <alignment horizontal="center"/>
    </xf>
    <xf numFmtId="0" fontId="7" fillId="3" borderId="3" xfId="6" applyFont="1" applyFill="1" applyBorder="1" applyAlignment="1" applyProtection="1">
      <alignment horizontal="center"/>
      <protection locked="0"/>
    </xf>
    <xf numFmtId="2" fontId="7" fillId="3" borderId="3" xfId="6" applyNumberFormat="1" applyFont="1" applyFill="1" applyBorder="1" applyAlignment="1" applyProtection="1">
      <alignment horizontal="center"/>
      <protection locked="0"/>
    </xf>
    <xf numFmtId="2" fontId="7" fillId="3" borderId="4" xfId="6" applyNumberFormat="1" applyFont="1" applyFill="1" applyBorder="1" applyAlignment="1" applyProtection="1">
      <alignment horizontal="center"/>
      <protection locked="0"/>
    </xf>
    <xf numFmtId="0" fontId="7" fillId="3" borderId="5" xfId="6" applyFont="1" applyFill="1" applyBorder="1" applyAlignment="1" applyProtection="1">
      <alignment horizontal="center"/>
      <protection locked="0"/>
    </xf>
    <xf numFmtId="2" fontId="7" fillId="3" borderId="5" xfId="6" applyNumberFormat="1" applyFont="1" applyFill="1" applyBorder="1" applyAlignment="1" applyProtection="1">
      <alignment horizontal="center"/>
      <protection locked="0"/>
    </xf>
    <xf numFmtId="0" fontId="6" fillId="2" borderId="4" xfId="6" applyFont="1" applyFill="1" applyBorder="1"/>
    <xf numFmtId="1" fontId="5" fillId="4" borderId="2" xfId="6" applyNumberFormat="1" applyFont="1" applyFill="1" applyBorder="1" applyAlignment="1">
      <alignment horizontal="center"/>
    </xf>
    <xf numFmtId="1" fontId="5" fillId="4" borderId="1" xfId="6" applyNumberFormat="1" applyFont="1" applyFill="1" applyBorder="1" applyAlignment="1">
      <alignment horizontal="center"/>
    </xf>
    <xf numFmtId="2" fontId="5" fillId="4" borderId="1" xfId="6" applyNumberFormat="1" applyFont="1" applyFill="1" applyBorder="1" applyAlignment="1">
      <alignment horizontal="center"/>
    </xf>
    <xf numFmtId="0" fontId="6" fillId="2" borderId="3" xfId="6" applyFont="1" applyFill="1" applyBorder="1"/>
    <xf numFmtId="10" fontId="5" fillId="5" borderId="1" xfId="6" applyNumberFormat="1" applyFont="1" applyFill="1" applyBorder="1" applyAlignment="1">
      <alignment horizontal="center"/>
    </xf>
    <xf numFmtId="165" fontId="5" fillId="2" borderId="0" xfId="6" applyNumberFormat="1" applyFont="1" applyFill="1" applyAlignment="1">
      <alignment horizontal="center"/>
    </xf>
    <xf numFmtId="0" fontId="6" fillId="2" borderId="6" xfId="6" applyFont="1" applyFill="1" applyBorder="1"/>
    <xf numFmtId="0" fontId="6" fillId="2" borderId="5" xfId="6" applyFont="1" applyFill="1" applyBorder="1"/>
    <xf numFmtId="0" fontId="5" fillId="4" borderId="1" xfId="6" applyFont="1" applyFill="1" applyBorder="1" applyAlignment="1">
      <alignment horizontal="center"/>
    </xf>
    <xf numFmtId="0" fontId="5" fillId="2" borderId="7" xfId="6" applyFont="1" applyFill="1" applyBorder="1" applyAlignment="1">
      <alignment horizontal="center"/>
    </xf>
    <xf numFmtId="0" fontId="6" fillId="2" borderId="7" xfId="6" applyFont="1" applyFill="1" applyBorder="1"/>
    <xf numFmtId="0" fontId="6" fillId="2" borderId="8" xfId="6" applyFont="1" applyFill="1" applyBorder="1"/>
    <xf numFmtId="0" fontId="6" fillId="2" borderId="0" xfId="6" applyFont="1" applyFill="1" applyAlignment="1" applyProtection="1">
      <alignment horizontal="left"/>
      <protection locked="0"/>
    </xf>
    <xf numFmtId="0" fontId="6" fillId="2" borderId="0" xfId="6" applyFont="1" applyFill="1" applyProtection="1">
      <protection locked="0"/>
    </xf>
    <xf numFmtId="0" fontId="2" fillId="2" borderId="9" xfId="6" applyFont="1" applyFill="1" applyBorder="1"/>
    <xf numFmtId="0" fontId="2" fillId="2" borderId="0" xfId="6" applyFont="1" applyFill="1" applyAlignment="1">
      <alignment horizontal="center"/>
    </xf>
    <xf numFmtId="10" fontId="2" fillId="2" borderId="9" xfId="6" applyNumberFormat="1" applyFont="1" applyFill="1" applyBorder="1"/>
    <xf numFmtId="0" fontId="22" fillId="2" borderId="0" xfId="6" applyFill="1"/>
    <xf numFmtId="0" fontId="1" fillId="2" borderId="10" xfId="6" applyFont="1" applyFill="1" applyBorder="1" applyAlignment="1">
      <alignment horizontal="center"/>
    </xf>
    <xf numFmtId="0" fontId="2" fillId="2" borderId="10" xfId="6" applyFont="1" applyFill="1" applyBorder="1" applyAlignment="1">
      <alignment horizontal="center"/>
    </xf>
    <xf numFmtId="0" fontId="1" fillId="2" borderId="0" xfId="6" applyFont="1" applyFill="1" applyAlignment="1">
      <alignment horizontal="right"/>
    </xf>
    <xf numFmtId="0" fontId="2" fillId="2" borderId="7" xfId="6" applyFont="1" applyFill="1" applyBorder="1"/>
    <xf numFmtId="0" fontId="1" fillId="2" borderId="11" xfId="6" applyFont="1" applyFill="1" applyBorder="1"/>
    <xf numFmtId="0" fontId="2" fillId="2" borderId="11" xfId="6" applyFont="1" applyFill="1" applyBorder="1"/>
    <xf numFmtId="0" fontId="5" fillId="2" borderId="0" xfId="6" applyFont="1" applyFill="1" applyAlignment="1">
      <alignment horizontal="center" vertical="top"/>
    </xf>
    <xf numFmtId="2" fontId="5" fillId="2" borderId="0" xfId="6" applyNumberFormat="1" applyFont="1" applyFill="1" applyAlignment="1">
      <alignment horizontal="left"/>
    </xf>
    <xf numFmtId="0" fontId="11" fillId="3" borderId="0" xfId="2" applyFont="1" applyFill="1" applyAlignment="1" applyProtection="1">
      <alignment horizontal="left"/>
      <protection locked="0"/>
    </xf>
    <xf numFmtId="0" fontId="24" fillId="2" borderId="0" xfId="7" applyFont="1" applyFill="1"/>
    <xf numFmtId="0" fontId="25" fillId="2" borderId="0" xfId="7" applyFont="1" applyFill="1" applyAlignment="1">
      <alignment wrapText="1"/>
    </xf>
    <xf numFmtId="0" fontId="26" fillId="2" borderId="0" xfId="7" applyFont="1" applyFill="1"/>
    <xf numFmtId="0" fontId="28" fillId="2" borderId="0" xfId="7" applyFont="1" applyFill="1"/>
    <xf numFmtId="167" fontId="28" fillId="2" borderId="0" xfId="7" applyNumberFormat="1" applyFont="1" applyFill="1" applyAlignment="1">
      <alignment horizontal="center"/>
    </xf>
    <xf numFmtId="0" fontId="27" fillId="2" borderId="0" xfId="7" applyFont="1" applyFill="1" applyAlignment="1">
      <alignment horizontal="right"/>
    </xf>
    <xf numFmtId="167" fontId="28" fillId="2" borderId="0" xfId="7" applyNumberFormat="1" applyFont="1" applyFill="1"/>
    <xf numFmtId="0" fontId="26" fillId="2" borderId="0" xfId="7" applyFont="1" applyFill="1" applyAlignment="1">
      <alignment horizontal="left"/>
    </xf>
    <xf numFmtId="0" fontId="29" fillId="2" borderId="0" xfId="7" applyFont="1" applyFill="1"/>
    <xf numFmtId="164" fontId="24" fillId="2" borderId="0" xfId="7" applyNumberFormat="1" applyFont="1" applyFill="1"/>
    <xf numFmtId="164" fontId="27" fillId="2" borderId="12" xfId="7" applyNumberFormat="1" applyFont="1" applyFill="1" applyBorder="1" applyAlignment="1">
      <alignment horizontal="center" wrapText="1"/>
    </xf>
    <xf numFmtId="0" fontId="27" fillId="2" borderId="12" xfId="7" applyFont="1" applyFill="1" applyBorder="1" applyAlignment="1">
      <alignment horizontal="center" wrapText="1"/>
    </xf>
    <xf numFmtId="0" fontId="30" fillId="2" borderId="0" xfId="7" applyFont="1" applyFill="1" applyAlignment="1">
      <alignment horizontal="center"/>
    </xf>
    <xf numFmtId="2" fontId="28" fillId="3" borderId="14" xfId="7" applyNumberFormat="1" applyFont="1" applyFill="1" applyBorder="1" applyProtection="1">
      <protection locked="0"/>
    </xf>
    <xf numFmtId="10" fontId="28" fillId="2" borderId="13" xfId="7" applyNumberFormat="1" applyFont="1" applyFill="1" applyBorder="1" applyAlignment="1">
      <alignment horizontal="center"/>
    </xf>
    <xf numFmtId="10" fontId="28" fillId="2" borderId="0" xfId="7" applyNumberFormat="1" applyFont="1" applyFill="1" applyAlignment="1">
      <alignment horizontal="center"/>
    </xf>
    <xf numFmtId="10" fontId="28" fillId="2" borderId="14" xfId="7" applyNumberFormat="1" applyFont="1" applyFill="1" applyBorder="1" applyAlignment="1">
      <alignment horizontal="center"/>
    </xf>
    <xf numFmtId="2" fontId="28" fillId="3" borderId="15" xfId="7" applyNumberFormat="1" applyFont="1" applyFill="1" applyBorder="1" applyProtection="1">
      <protection locked="0"/>
    </xf>
    <xf numFmtId="10" fontId="28" fillId="2" borderId="15" xfId="7" applyNumberFormat="1" applyFont="1" applyFill="1" applyBorder="1" applyAlignment="1">
      <alignment horizontal="center"/>
    </xf>
    <xf numFmtId="166" fontId="30" fillId="2" borderId="0" xfId="7" applyNumberFormat="1" applyFont="1" applyFill="1" applyAlignment="1">
      <alignment horizontal="center"/>
    </xf>
    <xf numFmtId="10" fontId="30" fillId="2" borderId="0" xfId="7" applyNumberFormat="1" applyFont="1" applyFill="1" applyAlignment="1">
      <alignment horizontal="center"/>
    </xf>
    <xf numFmtId="0" fontId="28" fillId="2" borderId="12" xfId="7" applyFont="1" applyFill="1" applyBorder="1" applyAlignment="1">
      <alignment horizontal="right" vertical="center"/>
    </xf>
    <xf numFmtId="166" fontId="28" fillId="2" borderId="12" xfId="7" applyNumberFormat="1" applyFont="1" applyFill="1" applyBorder="1" applyAlignment="1">
      <alignment horizontal="center" vertical="center"/>
    </xf>
    <xf numFmtId="166" fontId="28" fillId="2" borderId="0" xfId="7" applyNumberFormat="1" applyFont="1" applyFill="1" applyAlignment="1">
      <alignment horizontal="center"/>
    </xf>
    <xf numFmtId="164" fontId="27" fillId="2" borderId="12" xfId="7" applyNumberFormat="1" applyFont="1" applyFill="1" applyBorder="1" applyAlignment="1">
      <alignment horizontal="center" vertical="center"/>
    </xf>
    <xf numFmtId="2" fontId="31" fillId="2" borderId="0" xfId="7" applyNumberFormat="1" applyFont="1" applyFill="1" applyAlignment="1">
      <alignment horizontal="right"/>
    </xf>
    <xf numFmtId="2" fontId="27" fillId="2" borderId="0" xfId="7" applyNumberFormat="1" applyFont="1" applyFill="1"/>
    <xf numFmtId="2" fontId="31" fillId="2" borderId="0" xfId="7" applyNumberFormat="1" applyFont="1" applyFill="1"/>
    <xf numFmtId="0" fontId="27" fillId="2" borderId="12" xfId="7" applyFont="1" applyFill="1" applyBorder="1" applyAlignment="1">
      <alignment horizontal="center" vertical="center"/>
    </xf>
    <xf numFmtId="10" fontId="30" fillId="2" borderId="0" xfId="7" applyNumberFormat="1" applyFont="1" applyFill="1"/>
    <xf numFmtId="165" fontId="27" fillId="2" borderId="16" xfId="7" applyNumberFormat="1" applyFont="1" applyFill="1" applyBorder="1" applyAlignment="1">
      <alignment horizontal="center"/>
    </xf>
    <xf numFmtId="2" fontId="27" fillId="2" borderId="12" xfId="7" applyNumberFormat="1" applyFont="1" applyFill="1" applyBorder="1" applyAlignment="1">
      <alignment horizontal="center" vertical="center"/>
    </xf>
    <xf numFmtId="165" fontId="27" fillId="2" borderId="17" xfId="7" applyNumberFormat="1" applyFont="1" applyFill="1" applyBorder="1" applyAlignment="1">
      <alignment horizontal="center"/>
    </xf>
    <xf numFmtId="0" fontId="28" fillId="2" borderId="9" xfId="7" applyFont="1" applyFill="1" applyBorder="1"/>
    <xf numFmtId="0" fontId="28" fillId="2" borderId="0" xfId="7" applyFont="1" applyFill="1" applyAlignment="1">
      <alignment horizontal="center"/>
    </xf>
    <xf numFmtId="10" fontId="28" fillId="2" borderId="9" xfId="7" applyNumberFormat="1" applyFont="1" applyFill="1" applyBorder="1"/>
    <xf numFmtId="0" fontId="27" fillId="2" borderId="10" xfId="7" applyFont="1" applyFill="1" applyBorder="1"/>
    <xf numFmtId="0" fontId="27" fillId="2" borderId="10" xfId="7" applyFont="1" applyFill="1" applyBorder="1" applyAlignment="1">
      <alignment horizontal="center"/>
    </xf>
    <xf numFmtId="0" fontId="28" fillId="2" borderId="10" xfId="7" applyFont="1" applyFill="1" applyBorder="1" applyAlignment="1">
      <alignment horizontal="center"/>
    </xf>
    <xf numFmtId="0" fontId="28" fillId="2" borderId="7" xfId="7" applyFont="1" applyFill="1" applyBorder="1"/>
    <xf numFmtId="0" fontId="27" fillId="2" borderId="11" xfId="7" applyFont="1" applyFill="1" applyBorder="1"/>
    <xf numFmtId="0" fontId="27" fillId="2" borderId="0" xfId="7" applyFont="1" applyFill="1"/>
    <xf numFmtId="0" fontId="28" fillId="2" borderId="11" xfId="7" applyFont="1" applyFill="1" applyBorder="1"/>
    <xf numFmtId="0" fontId="0" fillId="2" borderId="0" xfId="7" applyFont="1" applyFill="1"/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7" fillId="3" borderId="3" xfId="10" applyFont="1" applyFill="1" applyBorder="1" applyAlignment="1" applyProtection="1">
      <alignment horizontal="center"/>
      <protection locked="0"/>
    </xf>
    <xf numFmtId="2" fontId="7" fillId="3" borderId="3" xfId="10" applyNumberFormat="1" applyFont="1" applyFill="1" applyBorder="1" applyAlignment="1" applyProtection="1">
      <alignment horizontal="center"/>
      <protection locked="0"/>
    </xf>
    <xf numFmtId="2" fontId="7" fillId="3" borderId="4" xfId="10" applyNumberFormat="1" applyFont="1" applyFill="1" applyBorder="1" applyAlignment="1" applyProtection="1">
      <alignment horizontal="center"/>
      <protection locked="0"/>
    </xf>
    <xf numFmtId="0" fontId="7" fillId="3" borderId="5" xfId="10" applyFont="1" applyFill="1" applyBorder="1" applyAlignment="1" applyProtection="1">
      <alignment horizontal="center"/>
      <protection locked="0"/>
    </xf>
    <xf numFmtId="2" fontId="7" fillId="3" borderId="5" xfId="10" applyNumberFormat="1" applyFont="1" applyFill="1" applyBorder="1" applyAlignment="1" applyProtection="1">
      <alignment horizontal="center"/>
      <protection locked="0"/>
    </xf>
    <xf numFmtId="166" fontId="27" fillId="2" borderId="13" xfId="7" applyNumberFormat="1" applyFont="1" applyFill="1" applyBorder="1" applyAlignment="1">
      <alignment horizontal="center" vertical="center"/>
    </xf>
    <xf numFmtId="166" fontId="27" fillId="2" borderId="15" xfId="7" applyNumberFormat="1" applyFont="1" applyFill="1" applyBorder="1" applyAlignment="1">
      <alignment horizontal="center" vertical="center"/>
    </xf>
    <xf numFmtId="0" fontId="25" fillId="2" borderId="18" xfId="7" applyFont="1" applyFill="1" applyBorder="1" applyAlignment="1">
      <alignment horizontal="center" wrapText="1"/>
    </xf>
    <xf numFmtId="0" fontId="25" fillId="2" borderId="19" xfId="7" applyFont="1" applyFill="1" applyBorder="1" applyAlignment="1">
      <alignment horizontal="center" wrapText="1"/>
    </xf>
    <xf numFmtId="0" fontId="25" fillId="2" borderId="20" xfId="7" applyFont="1" applyFill="1" applyBorder="1" applyAlignment="1">
      <alignment horizontal="center" wrapText="1"/>
    </xf>
    <xf numFmtId="0" fontId="26" fillId="2" borderId="0" xfId="7" applyFont="1" applyFill="1" applyAlignment="1">
      <alignment horizontal="center"/>
    </xf>
    <xf numFmtId="0" fontId="27" fillId="2" borderId="0" xfId="7" applyFont="1" applyFill="1" applyAlignment="1">
      <alignment horizontal="right"/>
    </xf>
    <xf numFmtId="164" fontId="24" fillId="2" borderId="0" xfId="7" applyNumberFormat="1" applyFont="1" applyFill="1" applyAlignment="1">
      <alignment horizontal="center"/>
    </xf>
    <xf numFmtId="0" fontId="3" fillId="2" borderId="0" xfId="6" applyFont="1" applyFill="1" applyAlignment="1">
      <alignment horizontal="center"/>
    </xf>
    <xf numFmtId="0" fontId="1" fillId="2" borderId="10" xfId="6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</cellXfs>
  <cellStyles count="11">
    <cellStyle name="Normal" xfId="0" builtinId="0"/>
    <cellStyle name="Normal 2" xfId="1"/>
    <cellStyle name="Normal 3" xfId="2"/>
    <cellStyle name="Normal 3 2" xfId="10"/>
    <cellStyle name="Normal 4" xfId="3"/>
    <cellStyle name="Normal 4 2" xfId="9"/>
    <cellStyle name="Normal 5" xfId="4"/>
    <cellStyle name="Normal 6" xfId="5"/>
    <cellStyle name="Normal 7" xfId="6"/>
    <cellStyle name="Normal 7 2" xfId="8"/>
    <cellStyle name="Normal 8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3" workbookViewId="0">
      <selection activeCell="F55" sqref="F55"/>
    </sheetView>
  </sheetViews>
  <sheetFormatPr defaultRowHeight="15" x14ac:dyDescent="0.3"/>
  <cols>
    <col min="1" max="1" width="15.5703125" style="621" customWidth="1"/>
    <col min="2" max="2" width="18.42578125" style="621" customWidth="1"/>
    <col min="3" max="3" width="14.28515625" style="621" customWidth="1"/>
    <col min="4" max="4" width="15" style="621" customWidth="1"/>
    <col min="5" max="5" width="9.140625" style="621" customWidth="1"/>
    <col min="6" max="6" width="27.85546875" style="621" customWidth="1"/>
    <col min="7" max="7" width="12.28515625" style="621" customWidth="1"/>
    <col min="8" max="8" width="9.140625" style="621" customWidth="1"/>
    <col min="9" max="16384" width="9.140625" style="664"/>
  </cols>
  <sheetData>
    <row r="10" spans="1:7" ht="13.5" customHeight="1" thickBot="1" x14ac:dyDescent="0.35"/>
    <row r="11" spans="1:7" ht="13.5" customHeight="1" thickBot="1" x14ac:dyDescent="0.35">
      <c r="A11" s="682" t="s">
        <v>28</v>
      </c>
      <c r="B11" s="683"/>
      <c r="C11" s="683"/>
      <c r="D11" s="683"/>
      <c r="E11" s="683"/>
      <c r="F11" s="684"/>
      <c r="G11" s="622"/>
    </row>
    <row r="12" spans="1:7" ht="16.5" customHeight="1" x14ac:dyDescent="0.3">
      <c r="A12" s="685" t="s">
        <v>29</v>
      </c>
      <c r="B12" s="685"/>
      <c r="C12" s="685"/>
      <c r="D12" s="685"/>
      <c r="E12" s="685"/>
      <c r="F12" s="685"/>
      <c r="G12" s="623"/>
    </row>
    <row r="14" spans="1:7" ht="16.5" customHeight="1" x14ac:dyDescent="0.3">
      <c r="A14" s="686" t="s">
        <v>30</v>
      </c>
      <c r="B14" s="686"/>
      <c r="C14" s="624" t="s">
        <v>5</v>
      </c>
    </row>
    <row r="15" spans="1:7" ht="16.5" customHeight="1" x14ac:dyDescent="0.3">
      <c r="A15" s="686" t="s">
        <v>31</v>
      </c>
      <c r="B15" s="686"/>
      <c r="C15" s="624" t="s">
        <v>132</v>
      </c>
    </row>
    <row r="16" spans="1:7" ht="16.5" customHeight="1" x14ac:dyDescent="0.3">
      <c r="A16" s="686" t="s">
        <v>32</v>
      </c>
      <c r="B16" s="686"/>
      <c r="C16" s="624" t="s">
        <v>133</v>
      </c>
    </row>
    <row r="17" spans="1:5" ht="16.5" customHeight="1" x14ac:dyDescent="0.3">
      <c r="A17" s="686" t="s">
        <v>33</v>
      </c>
      <c r="B17" s="686"/>
      <c r="C17" s="624" t="s">
        <v>134</v>
      </c>
    </row>
    <row r="18" spans="1:5" ht="16.5" customHeight="1" x14ac:dyDescent="0.3">
      <c r="A18" s="686" t="s">
        <v>34</v>
      </c>
      <c r="B18" s="686"/>
      <c r="C18" s="625" t="s">
        <v>135</v>
      </c>
    </row>
    <row r="19" spans="1:5" ht="16.5" customHeight="1" x14ac:dyDescent="0.3">
      <c r="A19" s="686" t="s">
        <v>35</v>
      </c>
      <c r="B19" s="686"/>
      <c r="C19" s="625" t="e">
        <f>#REF!</f>
        <v>#REF!</v>
      </c>
    </row>
    <row r="20" spans="1:5" ht="16.5" customHeight="1" x14ac:dyDescent="0.3">
      <c r="A20" s="626"/>
      <c r="B20" s="626"/>
      <c r="C20" s="627"/>
    </row>
    <row r="21" spans="1:5" ht="16.5" customHeight="1" x14ac:dyDescent="0.3">
      <c r="A21" s="685" t="s">
        <v>1</v>
      </c>
      <c r="B21" s="685"/>
      <c r="C21" s="628" t="s">
        <v>36</v>
      </c>
      <c r="D21" s="629"/>
    </row>
    <row r="22" spans="1:5" ht="15.75" customHeight="1" thickBot="1" x14ac:dyDescent="0.35">
      <c r="A22" s="687"/>
      <c r="B22" s="687"/>
      <c r="C22" s="630"/>
      <c r="D22" s="687"/>
      <c r="E22" s="687"/>
    </row>
    <row r="23" spans="1:5" ht="33.75" customHeight="1" thickBot="1" x14ac:dyDescent="0.35">
      <c r="C23" s="631" t="s">
        <v>37</v>
      </c>
      <c r="D23" s="632" t="s">
        <v>38</v>
      </c>
      <c r="E23" s="633"/>
    </row>
    <row r="24" spans="1:5" ht="15.75" customHeight="1" x14ac:dyDescent="0.3">
      <c r="C24" s="634">
        <v>1880</v>
      </c>
      <c r="D24" s="635">
        <f t="shared" ref="D24:D43" si="0">(C24-$C$46)/$C$46</f>
        <v>-5.5688146380271789E-3</v>
      </c>
      <c r="E24" s="636"/>
    </row>
    <row r="25" spans="1:5" ht="15.75" customHeight="1" x14ac:dyDescent="0.3">
      <c r="C25" s="634">
        <v>1884.67</v>
      </c>
      <c r="D25" s="637">
        <f t="shared" si="0"/>
        <v>-3.0986052573673461E-3</v>
      </c>
      <c r="E25" s="636"/>
    </row>
    <row r="26" spans="1:5" ht="15.75" customHeight="1" x14ac:dyDescent="0.3">
      <c r="C26" s="634">
        <v>1915.39</v>
      </c>
      <c r="D26" s="637">
        <f t="shared" si="0"/>
        <v>1.3150823473653841E-2</v>
      </c>
      <c r="E26" s="636"/>
    </row>
    <row r="27" spans="1:5" ht="15.75" customHeight="1" x14ac:dyDescent="0.3">
      <c r="C27" s="634">
        <v>1881.44</v>
      </c>
      <c r="D27" s="637">
        <f t="shared" si="0"/>
        <v>-4.8071226662605325E-3</v>
      </c>
      <c r="E27" s="636"/>
    </row>
    <row r="28" spans="1:5" ht="15.75" customHeight="1" x14ac:dyDescent="0.3">
      <c r="C28" s="634">
        <v>1888.47</v>
      </c>
      <c r="D28" s="637">
        <f t="shared" si="0"/>
        <v>-1.0885847763165738E-3</v>
      </c>
      <c r="E28" s="636"/>
    </row>
    <row r="29" spans="1:5" ht="15.75" customHeight="1" x14ac:dyDescent="0.3">
      <c r="C29" s="634">
        <v>1906.3</v>
      </c>
      <c r="D29" s="637">
        <f t="shared" si="0"/>
        <v>8.3426429018769923E-3</v>
      </c>
      <c r="E29" s="636"/>
    </row>
    <row r="30" spans="1:5" ht="15.75" customHeight="1" x14ac:dyDescent="0.3">
      <c r="C30" s="634">
        <v>1910.29</v>
      </c>
      <c r="D30" s="637">
        <f t="shared" si="0"/>
        <v>1.0453164406980332E-2</v>
      </c>
      <c r="E30" s="636"/>
    </row>
    <row r="31" spans="1:5" ht="15.75" customHeight="1" x14ac:dyDescent="0.3">
      <c r="C31" s="634">
        <v>1860.6</v>
      </c>
      <c r="D31" s="637">
        <f t="shared" si="0"/>
        <v>-1.5830498146549712E-2</v>
      </c>
      <c r="E31" s="636"/>
    </row>
    <row r="32" spans="1:5" ht="15.75" customHeight="1" x14ac:dyDescent="0.3">
      <c r="C32" s="634">
        <v>1859.26</v>
      </c>
      <c r="D32" s="637">
        <f t="shared" si="0"/>
        <v>-1.653929484249916E-2</v>
      </c>
      <c r="E32" s="636"/>
    </row>
    <row r="33" spans="1:7" ht="15.75" customHeight="1" x14ac:dyDescent="0.3">
      <c r="C33" s="634">
        <v>1881.23</v>
      </c>
      <c r="D33" s="637">
        <f t="shared" si="0"/>
        <v>-4.9182027454765164E-3</v>
      </c>
      <c r="E33" s="636"/>
    </row>
    <row r="34" spans="1:7" ht="15.75" customHeight="1" x14ac:dyDescent="0.3">
      <c r="C34" s="634">
        <v>1927.74</v>
      </c>
      <c r="D34" s="637">
        <f t="shared" si="0"/>
        <v>1.9683390037068881E-2</v>
      </c>
      <c r="E34" s="636"/>
    </row>
    <row r="35" spans="1:7" ht="15.75" customHeight="1" x14ac:dyDescent="0.3">
      <c r="C35" s="634">
        <v>1894.1</v>
      </c>
      <c r="D35" s="637">
        <f t="shared" si="0"/>
        <v>1.8894192521875695E-3</v>
      </c>
      <c r="E35" s="636"/>
    </row>
    <row r="36" spans="1:7" ht="15.75" customHeight="1" x14ac:dyDescent="0.3">
      <c r="C36" s="634">
        <v>1899.85</v>
      </c>
      <c r="D36" s="637">
        <f t="shared" si="0"/>
        <v>4.9308976116723266E-3</v>
      </c>
      <c r="E36" s="636"/>
    </row>
    <row r="37" spans="1:7" ht="15.75" customHeight="1" x14ac:dyDescent="0.3">
      <c r="C37" s="634">
        <v>1864.81</v>
      </c>
      <c r="D37" s="637">
        <f t="shared" si="0"/>
        <v>-1.360360703464868E-2</v>
      </c>
      <c r="E37" s="636"/>
    </row>
    <row r="38" spans="1:7" ht="15.75" customHeight="1" x14ac:dyDescent="0.3">
      <c r="C38" s="634">
        <v>1859.38</v>
      </c>
      <c r="D38" s="637">
        <f t="shared" si="0"/>
        <v>-1.6475820511518545E-2</v>
      </c>
      <c r="E38" s="636"/>
    </row>
    <row r="39" spans="1:7" ht="15.75" customHeight="1" x14ac:dyDescent="0.3">
      <c r="C39" s="634">
        <v>1910.53</v>
      </c>
      <c r="D39" s="637">
        <f t="shared" si="0"/>
        <v>1.058011306894144E-2</v>
      </c>
      <c r="E39" s="636"/>
    </row>
    <row r="40" spans="1:7" ht="15.75" customHeight="1" x14ac:dyDescent="0.3">
      <c r="C40" s="634">
        <v>1896.48</v>
      </c>
      <c r="D40" s="637">
        <f t="shared" si="0"/>
        <v>3.1483268166352311E-3</v>
      </c>
      <c r="E40" s="636"/>
    </row>
    <row r="41" spans="1:7" ht="15.75" customHeight="1" x14ac:dyDescent="0.3">
      <c r="C41" s="634">
        <v>1916.81</v>
      </c>
      <c r="D41" s="637">
        <f t="shared" si="0"/>
        <v>1.3901936390256952E-2</v>
      </c>
      <c r="E41" s="636"/>
    </row>
    <row r="42" spans="1:7" ht="15.75" customHeight="1" x14ac:dyDescent="0.3">
      <c r="C42" s="634">
        <v>1873.23</v>
      </c>
      <c r="D42" s="637">
        <f t="shared" si="0"/>
        <v>-9.1498248108466129E-3</v>
      </c>
      <c r="E42" s="636"/>
    </row>
    <row r="43" spans="1:7" ht="16.5" customHeight="1" thickBot="1" x14ac:dyDescent="0.35">
      <c r="C43" s="638">
        <v>1899.98</v>
      </c>
      <c r="D43" s="639">
        <f t="shared" si="0"/>
        <v>4.9996614702346488E-3</v>
      </c>
      <c r="E43" s="636"/>
    </row>
    <row r="44" spans="1:7" ht="16.5" customHeight="1" thickBot="1" x14ac:dyDescent="0.35">
      <c r="C44" s="640"/>
      <c r="D44" s="636"/>
      <c r="E44" s="641"/>
    </row>
    <row r="45" spans="1:7" ht="16.5" customHeight="1" thickBot="1" x14ac:dyDescent="0.35">
      <c r="B45" s="642" t="s">
        <v>39</v>
      </c>
      <c r="C45" s="643">
        <f>SUM(C24:C44)</f>
        <v>37810.560000000005</v>
      </c>
      <c r="D45" s="644"/>
      <c r="E45" s="640"/>
    </row>
    <row r="46" spans="1:7" ht="17.25" customHeight="1" thickBot="1" x14ac:dyDescent="0.35">
      <c r="B46" s="642" t="s">
        <v>40</v>
      </c>
      <c r="C46" s="645">
        <f>AVERAGE(C24:C44)</f>
        <v>1890.5280000000002</v>
      </c>
      <c r="E46" s="646"/>
    </row>
    <row r="47" spans="1:7" ht="17.25" customHeight="1" thickBot="1" x14ac:dyDescent="0.35">
      <c r="A47" s="624"/>
      <c r="B47" s="647"/>
      <c r="D47" s="648"/>
      <c r="E47" s="646"/>
    </row>
    <row r="48" spans="1:7" ht="33.75" customHeight="1" thickBot="1" x14ac:dyDescent="0.35">
      <c r="B48" s="649" t="s">
        <v>40</v>
      </c>
      <c r="C48" s="632" t="s">
        <v>41</v>
      </c>
      <c r="D48" s="650"/>
      <c r="G48" s="648"/>
    </row>
    <row r="49" spans="1:6" ht="17.25" customHeight="1" thickBot="1" x14ac:dyDescent="0.35">
      <c r="B49" s="680">
        <f>C46</f>
        <v>1890.5280000000002</v>
      </c>
      <c r="C49" s="651">
        <f>-IF(C46&lt;=80,10%,IF(C46&lt;250,7.5%,5%))</f>
        <v>-0.05</v>
      </c>
      <c r="D49" s="652">
        <f>IF(C46&lt;=80,C46*0.9,IF(C46&lt;250,C46*0.925,C46*0.95))</f>
        <v>1796.0016000000001</v>
      </c>
    </row>
    <row r="50" spans="1:6" ht="17.25" customHeight="1" thickBot="1" x14ac:dyDescent="0.35">
      <c r="B50" s="681"/>
      <c r="C50" s="653">
        <f>IF(C46&lt;=80, 10%, IF(C46&lt;250, 7.5%, 5%))</f>
        <v>0.05</v>
      </c>
      <c r="D50" s="652">
        <f>IF(C46&lt;=80, C46*1.1, IF(C46&lt;250, C46*1.075, C46*1.05))</f>
        <v>1985.0544000000004</v>
      </c>
    </row>
    <row r="51" spans="1:6" ht="16.5" customHeight="1" thickBot="1" x14ac:dyDescent="0.35">
      <c r="A51" s="654"/>
      <c r="B51" s="655"/>
      <c r="C51" s="624"/>
      <c r="D51" s="656"/>
      <c r="E51" s="624"/>
      <c r="F51" s="629"/>
    </row>
    <row r="52" spans="1:6" ht="16.5" customHeight="1" x14ac:dyDescent="0.3">
      <c r="A52" s="624"/>
      <c r="B52" s="657" t="s">
        <v>23</v>
      </c>
      <c r="C52" s="657"/>
      <c r="D52" s="658" t="s">
        <v>24</v>
      </c>
      <c r="E52" s="659"/>
      <c r="F52" s="658" t="s">
        <v>25</v>
      </c>
    </row>
    <row r="53" spans="1:6" ht="34.5" customHeight="1" x14ac:dyDescent="0.3">
      <c r="A53" s="626" t="s">
        <v>26</v>
      </c>
      <c r="B53" s="660"/>
      <c r="C53" s="624"/>
      <c r="D53" s="660"/>
      <c r="E53" s="624"/>
      <c r="F53" s="660"/>
    </row>
    <row r="54" spans="1:6" ht="34.5" customHeight="1" x14ac:dyDescent="0.3">
      <c r="A54" s="626" t="s">
        <v>27</v>
      </c>
      <c r="B54" s="661"/>
      <c r="C54" s="662"/>
      <c r="D54" s="661"/>
      <c r="E54" s="624"/>
      <c r="F54" s="663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B31" sqref="B31"/>
    </sheetView>
  </sheetViews>
  <sheetFormatPr defaultRowHeight="13.5" x14ac:dyDescent="0.25"/>
  <cols>
    <col min="1" max="1" width="27.5703125" style="575" customWidth="1"/>
    <col min="2" max="2" width="20.42578125" style="575" customWidth="1"/>
    <col min="3" max="3" width="31.85546875" style="575" customWidth="1"/>
    <col min="4" max="4" width="25.85546875" style="575" customWidth="1"/>
    <col min="5" max="5" width="25.7109375" style="575" customWidth="1"/>
    <col min="6" max="6" width="23.140625" style="575" customWidth="1"/>
    <col min="7" max="7" width="28.42578125" style="575" customWidth="1"/>
    <col min="8" max="8" width="21.5703125" style="575" customWidth="1"/>
    <col min="9" max="9" width="9.140625" style="575" customWidth="1"/>
    <col min="10" max="16384" width="9.140625" style="611"/>
  </cols>
  <sheetData>
    <row r="1" spans="1:5" ht="18.75" customHeight="1" x14ac:dyDescent="0.3">
      <c r="A1" s="688" t="s">
        <v>0</v>
      </c>
      <c r="B1" s="688"/>
      <c r="C1" s="688"/>
      <c r="D1" s="688"/>
      <c r="E1" s="688"/>
    </row>
    <row r="2" spans="1:5" ht="16.5" customHeight="1" x14ac:dyDescent="0.3">
      <c r="A2" s="576" t="s">
        <v>1</v>
      </c>
      <c r="B2" s="577" t="s">
        <v>2</v>
      </c>
    </row>
    <row r="3" spans="1:5" ht="16.5" customHeight="1" x14ac:dyDescent="0.3">
      <c r="A3" s="578" t="s">
        <v>3</v>
      </c>
      <c r="B3" s="578" t="s">
        <v>122</v>
      </c>
      <c r="D3" s="579"/>
      <c r="E3" s="580"/>
    </row>
    <row r="4" spans="1:5" ht="16.5" customHeight="1" x14ac:dyDescent="0.3">
      <c r="A4" s="581" t="s">
        <v>4</v>
      </c>
      <c r="B4" s="582" t="s">
        <v>129</v>
      </c>
      <c r="C4" s="580"/>
      <c r="D4" s="580"/>
      <c r="E4" s="580"/>
    </row>
    <row r="5" spans="1:5" ht="16.5" customHeight="1" x14ac:dyDescent="0.3">
      <c r="A5" s="581" t="s">
        <v>6</v>
      </c>
      <c r="B5" s="618">
        <v>98.8</v>
      </c>
      <c r="C5" s="580"/>
      <c r="D5" s="580"/>
      <c r="E5" s="580"/>
    </row>
    <row r="6" spans="1:5" ht="16.5" customHeight="1" x14ac:dyDescent="0.3">
      <c r="A6" s="578" t="s">
        <v>7</v>
      </c>
      <c r="B6" s="582">
        <f>'Tenofovir Disoproxil Fumarate'!D43</f>
        <v>14.56</v>
      </c>
      <c r="C6" s="580"/>
      <c r="D6" s="580"/>
      <c r="E6" s="580"/>
    </row>
    <row r="7" spans="1:5" ht="16.5" customHeight="1" x14ac:dyDescent="0.3">
      <c r="A7" s="578" t="s">
        <v>8</v>
      </c>
      <c r="B7" s="583">
        <f>B6/50*10/25</f>
        <v>0.11648</v>
      </c>
      <c r="C7" s="580"/>
      <c r="D7" s="580"/>
      <c r="E7" s="580"/>
    </row>
    <row r="8" spans="1:5" ht="15.75" customHeight="1" x14ac:dyDescent="0.25">
      <c r="A8" s="580"/>
      <c r="B8" s="584"/>
      <c r="C8" s="580"/>
      <c r="D8" s="580"/>
      <c r="E8" s="580"/>
    </row>
    <row r="9" spans="1:5" ht="16.5" customHeight="1" x14ac:dyDescent="0.3">
      <c r="A9" s="585" t="s">
        <v>10</v>
      </c>
      <c r="B9" s="586" t="s">
        <v>11</v>
      </c>
      <c r="C9" s="585" t="s">
        <v>12</v>
      </c>
      <c r="D9" s="585" t="s">
        <v>13</v>
      </c>
      <c r="E9" s="585" t="s">
        <v>14</v>
      </c>
    </row>
    <row r="10" spans="1:5" ht="16.5" customHeight="1" x14ac:dyDescent="0.3">
      <c r="A10" s="587">
        <v>1</v>
      </c>
      <c r="B10" s="588">
        <v>22608947</v>
      </c>
      <c r="C10" s="588">
        <v>54667.7</v>
      </c>
      <c r="D10" s="589">
        <v>1.1000000000000001</v>
      </c>
      <c r="E10" s="590">
        <v>16.100000000000001</v>
      </c>
    </row>
    <row r="11" spans="1:5" ht="16.5" customHeight="1" x14ac:dyDescent="0.3">
      <c r="A11" s="587">
        <v>2</v>
      </c>
      <c r="B11" s="588">
        <v>22699482</v>
      </c>
      <c r="C11" s="588">
        <v>54870.8</v>
      </c>
      <c r="D11" s="589">
        <v>1.1000000000000001</v>
      </c>
      <c r="E11" s="589">
        <v>16.100000000000001</v>
      </c>
    </row>
    <row r="12" spans="1:5" ht="16.5" customHeight="1" x14ac:dyDescent="0.3">
      <c r="A12" s="587">
        <v>3</v>
      </c>
      <c r="B12" s="588">
        <v>22660600</v>
      </c>
      <c r="C12" s="588">
        <v>54780.5</v>
      </c>
      <c r="D12" s="589">
        <v>1.1000000000000001</v>
      </c>
      <c r="E12" s="589">
        <v>16.100000000000001</v>
      </c>
    </row>
    <row r="13" spans="1:5" ht="16.5" customHeight="1" x14ac:dyDescent="0.3">
      <c r="A13" s="587">
        <v>4</v>
      </c>
      <c r="B13" s="588">
        <v>22528640</v>
      </c>
      <c r="C13" s="588">
        <v>54560.1</v>
      </c>
      <c r="D13" s="589">
        <v>1.1000000000000001</v>
      </c>
      <c r="E13" s="589">
        <v>16.100000000000001</v>
      </c>
    </row>
    <row r="14" spans="1:5" ht="16.5" customHeight="1" x14ac:dyDescent="0.3">
      <c r="A14" s="587">
        <v>5</v>
      </c>
      <c r="B14" s="588">
        <v>22525469</v>
      </c>
      <c r="C14" s="588">
        <v>55340</v>
      </c>
      <c r="D14" s="589">
        <v>1.1000000000000001</v>
      </c>
      <c r="E14" s="589">
        <v>16.100000000000001</v>
      </c>
    </row>
    <row r="15" spans="1:5" ht="16.5" customHeight="1" x14ac:dyDescent="0.3">
      <c r="A15" s="587">
        <v>6</v>
      </c>
      <c r="B15" s="591">
        <v>22499874</v>
      </c>
      <c r="C15" s="591">
        <v>55285</v>
      </c>
      <c r="D15" s="592">
        <v>1.1000000000000001</v>
      </c>
      <c r="E15" s="592">
        <v>16.100000000000001</v>
      </c>
    </row>
    <row r="16" spans="1:5" ht="16.5" customHeight="1" x14ac:dyDescent="0.3">
      <c r="A16" s="593" t="s">
        <v>15</v>
      </c>
      <c r="B16" s="594">
        <f>AVERAGE(B10:B15)</f>
        <v>22587168.666666668</v>
      </c>
      <c r="C16" s="595">
        <f>AVERAGE(C10:C15)</f>
        <v>54917.35</v>
      </c>
      <c r="D16" s="596">
        <f>AVERAGE(D10:D15)</f>
        <v>1.0999999999999999</v>
      </c>
      <c r="E16" s="596">
        <f>AVERAGE(E10:E15)</f>
        <v>16.099999999999998</v>
      </c>
    </row>
    <row r="17" spans="1:5" ht="16.5" customHeight="1" x14ac:dyDescent="0.3">
      <c r="A17" s="597" t="s">
        <v>16</v>
      </c>
      <c r="B17" s="598">
        <f>(STDEV(B10:B15)/B16)</f>
        <v>3.614881059678996E-3</v>
      </c>
      <c r="C17" s="599"/>
      <c r="D17" s="599"/>
      <c r="E17" s="600"/>
    </row>
    <row r="18" spans="1:5" s="575" customFormat="1" ht="16.5" customHeight="1" x14ac:dyDescent="0.3">
      <c r="A18" s="601" t="s">
        <v>17</v>
      </c>
      <c r="B18" s="602">
        <f>COUNT(B10:B15)</f>
        <v>6</v>
      </c>
      <c r="C18" s="603"/>
      <c r="D18" s="604"/>
      <c r="E18" s="605"/>
    </row>
    <row r="19" spans="1:5" s="575" customFormat="1" ht="15.75" customHeight="1" x14ac:dyDescent="0.25">
      <c r="A19" s="580"/>
      <c r="B19" s="580"/>
      <c r="C19" s="580"/>
      <c r="D19" s="580"/>
      <c r="E19" s="580"/>
    </row>
    <row r="20" spans="1:5" s="575" customFormat="1" ht="16.5" customHeight="1" x14ac:dyDescent="0.3">
      <c r="A20" s="581" t="s">
        <v>18</v>
      </c>
      <c r="B20" s="606" t="s">
        <v>19</v>
      </c>
      <c r="C20" s="607"/>
      <c r="D20" s="607"/>
      <c r="E20" s="607"/>
    </row>
    <row r="21" spans="1:5" ht="16.5" customHeight="1" x14ac:dyDescent="0.3">
      <c r="A21" s="581"/>
      <c r="B21" s="606" t="s">
        <v>20</v>
      </c>
      <c r="C21" s="607"/>
      <c r="D21" s="607"/>
      <c r="E21" s="607"/>
    </row>
    <row r="22" spans="1:5" ht="16.5" customHeight="1" x14ac:dyDescent="0.3">
      <c r="A22" s="581"/>
      <c r="B22" s="606" t="s">
        <v>21</v>
      </c>
      <c r="C22" s="607"/>
      <c r="D22" s="607"/>
      <c r="E22" s="607"/>
    </row>
    <row r="23" spans="1:5" ht="15.75" customHeight="1" x14ac:dyDescent="0.25">
      <c r="A23" s="580"/>
      <c r="B23" s="580"/>
      <c r="C23" s="580"/>
      <c r="D23" s="580"/>
      <c r="E23" s="580"/>
    </row>
    <row r="24" spans="1:5" ht="16.5" customHeight="1" x14ac:dyDescent="0.3">
      <c r="A24" s="576" t="s">
        <v>1</v>
      </c>
      <c r="B24" s="577" t="s">
        <v>22</v>
      </c>
    </row>
    <row r="25" spans="1:5" ht="16.5" customHeight="1" x14ac:dyDescent="0.3">
      <c r="A25" s="581" t="s">
        <v>4</v>
      </c>
      <c r="B25" s="619" t="str">
        <f>B4</f>
        <v>Tenofovir DF</v>
      </c>
      <c r="C25" s="580"/>
      <c r="D25" s="580"/>
      <c r="E25" s="580"/>
    </row>
    <row r="26" spans="1:5" ht="16.5" customHeight="1" x14ac:dyDescent="0.3">
      <c r="A26" s="581" t="s">
        <v>6</v>
      </c>
      <c r="B26" s="582">
        <v>98.8</v>
      </c>
      <c r="C26" s="580"/>
      <c r="D26" s="580"/>
      <c r="E26" s="580"/>
    </row>
    <row r="27" spans="1:5" ht="16.5" customHeight="1" x14ac:dyDescent="0.3">
      <c r="A27" s="578" t="s">
        <v>7</v>
      </c>
      <c r="B27" s="582">
        <f>'Tenofovir Disoproxil Fumarate'!D96</f>
        <v>15.62</v>
      </c>
      <c r="C27" s="580"/>
      <c r="D27" s="580"/>
      <c r="E27" s="580"/>
    </row>
    <row r="28" spans="1:5" ht="16.5" customHeight="1" x14ac:dyDescent="0.3">
      <c r="A28" s="578" t="s">
        <v>8</v>
      </c>
      <c r="B28" s="583">
        <f>B27/50</f>
        <v>0.31240000000000001</v>
      </c>
      <c r="C28" s="580"/>
      <c r="D28" s="580"/>
      <c r="E28" s="580"/>
    </row>
    <row r="29" spans="1:5" ht="15.75" customHeight="1" x14ac:dyDescent="0.25">
      <c r="A29" s="580"/>
      <c r="B29" s="580"/>
      <c r="C29" s="580"/>
      <c r="D29" s="580"/>
      <c r="E29" s="580"/>
    </row>
    <row r="30" spans="1:5" ht="16.5" customHeight="1" x14ac:dyDescent="0.3">
      <c r="A30" s="585" t="s">
        <v>10</v>
      </c>
      <c r="B30" s="586" t="s">
        <v>11</v>
      </c>
      <c r="C30" s="585" t="s">
        <v>12</v>
      </c>
      <c r="D30" s="585" t="s">
        <v>13</v>
      </c>
      <c r="E30" s="585" t="s">
        <v>14</v>
      </c>
    </row>
    <row r="31" spans="1:5" ht="16.5" customHeight="1" x14ac:dyDescent="0.3">
      <c r="A31" s="587">
        <v>1</v>
      </c>
      <c r="B31" s="665">
        <v>77173124</v>
      </c>
      <c r="C31" s="665">
        <v>103503.6</v>
      </c>
      <c r="D31" s="666">
        <v>1.1499999999999999</v>
      </c>
      <c r="E31" s="667">
        <v>16.98</v>
      </c>
    </row>
    <row r="32" spans="1:5" ht="16.5" customHeight="1" x14ac:dyDescent="0.3">
      <c r="A32" s="587">
        <v>2</v>
      </c>
      <c r="B32" s="665">
        <v>77164028</v>
      </c>
      <c r="C32" s="665">
        <v>100392</v>
      </c>
      <c r="D32" s="666">
        <v>1.18</v>
      </c>
      <c r="E32" s="666">
        <v>16.98</v>
      </c>
    </row>
    <row r="33" spans="1:7" ht="16.5" customHeight="1" x14ac:dyDescent="0.3">
      <c r="A33" s="587">
        <v>3</v>
      </c>
      <c r="B33" s="665">
        <v>77291064</v>
      </c>
      <c r="C33" s="665">
        <v>100759</v>
      </c>
      <c r="D33" s="666">
        <v>1.18</v>
      </c>
      <c r="E33" s="666">
        <v>16.989999999999998</v>
      </c>
    </row>
    <row r="34" spans="1:7" ht="16.5" customHeight="1" x14ac:dyDescent="0.3">
      <c r="A34" s="587">
        <v>4</v>
      </c>
      <c r="B34" s="665">
        <v>77196896</v>
      </c>
      <c r="C34" s="665">
        <v>101776</v>
      </c>
      <c r="D34" s="666">
        <v>1.19</v>
      </c>
      <c r="E34" s="666">
        <v>16.989999999999998</v>
      </c>
    </row>
    <row r="35" spans="1:7" ht="16.5" customHeight="1" x14ac:dyDescent="0.3">
      <c r="A35" s="587">
        <v>5</v>
      </c>
      <c r="B35" s="665">
        <v>77199403</v>
      </c>
      <c r="C35" s="665">
        <v>101730.2</v>
      </c>
      <c r="D35" s="666">
        <v>1.1599999999999999</v>
      </c>
      <c r="E35" s="666">
        <v>16.989999999999998</v>
      </c>
    </row>
    <row r="36" spans="1:7" ht="16.5" customHeight="1" x14ac:dyDescent="0.3">
      <c r="A36" s="587">
        <v>6</v>
      </c>
      <c r="B36" s="668">
        <v>77162234</v>
      </c>
      <c r="C36" s="668">
        <v>98668.2</v>
      </c>
      <c r="D36" s="669">
        <v>1.21</v>
      </c>
      <c r="E36" s="669">
        <v>16.98</v>
      </c>
    </row>
    <row r="37" spans="1:7" ht="16.5" customHeight="1" x14ac:dyDescent="0.3">
      <c r="A37" s="593" t="s">
        <v>15</v>
      </c>
      <c r="B37" s="594">
        <f>AVERAGE(B31:B36)</f>
        <v>77197791.5</v>
      </c>
      <c r="C37" s="595">
        <f>AVERAGE(C31:C36)</f>
        <v>101138.16666666667</v>
      </c>
      <c r="D37" s="596">
        <f>AVERAGE(D31:D36)</f>
        <v>1.1783333333333332</v>
      </c>
      <c r="E37" s="596">
        <f>AVERAGE(E31:E36)</f>
        <v>16.984999999999999</v>
      </c>
    </row>
    <row r="38" spans="1:7" ht="16.5" customHeight="1" x14ac:dyDescent="0.3">
      <c r="A38" s="597" t="s">
        <v>16</v>
      </c>
      <c r="B38" s="598">
        <f>(STDEV(B31:B36)/B37)</f>
        <v>6.2704533274145517E-4</v>
      </c>
      <c r="C38" s="599"/>
      <c r="D38" s="599"/>
      <c r="E38" s="600"/>
    </row>
    <row r="39" spans="1:7" s="575" customFormat="1" ht="16.5" customHeight="1" x14ac:dyDescent="0.3">
      <c r="A39" s="601" t="s">
        <v>17</v>
      </c>
      <c r="B39" s="602">
        <f>COUNT(B31:B36)</f>
        <v>6</v>
      </c>
      <c r="C39" s="603"/>
      <c r="D39" s="604"/>
      <c r="E39" s="605"/>
    </row>
    <row r="40" spans="1:7" s="575" customFormat="1" ht="15.75" customHeight="1" x14ac:dyDescent="0.25">
      <c r="A40" s="580"/>
      <c r="B40" s="580"/>
      <c r="C40" s="580"/>
      <c r="D40" s="580"/>
      <c r="E40" s="580"/>
    </row>
    <row r="41" spans="1:7" s="575" customFormat="1" ht="16.5" customHeight="1" x14ac:dyDescent="0.3">
      <c r="A41" s="581" t="s">
        <v>18</v>
      </c>
      <c r="B41" s="606" t="s">
        <v>19</v>
      </c>
      <c r="C41" s="607"/>
      <c r="D41" s="607"/>
      <c r="E41" s="607"/>
    </row>
    <row r="42" spans="1:7" ht="16.5" customHeight="1" x14ac:dyDescent="0.3">
      <c r="A42" s="581"/>
      <c r="B42" s="606" t="s">
        <v>20</v>
      </c>
      <c r="C42" s="607"/>
      <c r="D42" s="607"/>
      <c r="E42" s="607"/>
    </row>
    <row r="43" spans="1:7" ht="16.5" customHeight="1" x14ac:dyDescent="0.3">
      <c r="A43" s="581"/>
      <c r="B43" s="606" t="s">
        <v>21</v>
      </c>
      <c r="C43" s="607"/>
      <c r="D43" s="607"/>
      <c r="E43" s="607"/>
    </row>
    <row r="44" spans="1:7" ht="14.25" customHeight="1" thickBot="1" x14ac:dyDescent="0.3">
      <c r="A44" s="608"/>
      <c r="B44" s="609"/>
      <c r="D44" s="610"/>
      <c r="F44" s="611"/>
      <c r="G44" s="611"/>
    </row>
    <row r="45" spans="1:7" ht="15" customHeight="1" x14ac:dyDescent="0.3">
      <c r="B45" s="689" t="s">
        <v>23</v>
      </c>
      <c r="C45" s="689"/>
      <c r="E45" s="612" t="s">
        <v>24</v>
      </c>
      <c r="F45" s="613"/>
      <c r="G45" s="612" t="s">
        <v>25</v>
      </c>
    </row>
    <row r="46" spans="1:7" ht="15" customHeight="1" x14ac:dyDescent="0.3">
      <c r="A46" s="614" t="s">
        <v>26</v>
      </c>
      <c r="B46" s="615"/>
      <c r="C46" s="615"/>
      <c r="E46" s="615"/>
      <c r="G46" s="615"/>
    </row>
    <row r="47" spans="1:7" ht="15" customHeight="1" x14ac:dyDescent="0.3">
      <c r="A47" s="614" t="s">
        <v>27</v>
      </c>
      <c r="B47" s="616"/>
      <c r="C47" s="616"/>
      <c r="E47" s="616"/>
      <c r="G47" s="61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0" zoomScale="70" zoomScaleNormal="60" zoomScaleSheetLayoutView="70" zoomScalePageLayoutView="43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693" t="s">
        <v>42</v>
      </c>
      <c r="B1" s="693"/>
      <c r="C1" s="693"/>
      <c r="D1" s="693"/>
      <c r="E1" s="693"/>
      <c r="F1" s="693"/>
      <c r="G1" s="693"/>
      <c r="H1" s="693"/>
      <c r="I1" s="693"/>
    </row>
    <row r="2" spans="1:9" ht="18.75" customHeight="1" x14ac:dyDescent="0.25">
      <c r="A2" s="693"/>
      <c r="B2" s="693"/>
      <c r="C2" s="693"/>
      <c r="D2" s="693"/>
      <c r="E2" s="693"/>
      <c r="F2" s="693"/>
      <c r="G2" s="693"/>
      <c r="H2" s="693"/>
      <c r="I2" s="693"/>
    </row>
    <row r="3" spans="1:9" ht="18.75" customHeight="1" x14ac:dyDescent="0.25">
      <c r="A3" s="693"/>
      <c r="B3" s="693"/>
      <c r="C3" s="693"/>
      <c r="D3" s="693"/>
      <c r="E3" s="693"/>
      <c r="F3" s="693"/>
      <c r="G3" s="693"/>
      <c r="H3" s="693"/>
      <c r="I3" s="693"/>
    </row>
    <row r="4" spans="1:9" ht="18.75" customHeight="1" x14ac:dyDescent="0.25">
      <c r="A4" s="693"/>
      <c r="B4" s="693"/>
      <c r="C4" s="693"/>
      <c r="D4" s="693"/>
      <c r="E4" s="693"/>
      <c r="F4" s="693"/>
      <c r="G4" s="693"/>
      <c r="H4" s="693"/>
      <c r="I4" s="693"/>
    </row>
    <row r="5" spans="1:9" ht="18.75" customHeight="1" x14ac:dyDescent="0.25">
      <c r="A5" s="693"/>
      <c r="B5" s="693"/>
      <c r="C5" s="693"/>
      <c r="D5" s="693"/>
      <c r="E5" s="693"/>
      <c r="F5" s="693"/>
      <c r="G5" s="693"/>
      <c r="H5" s="693"/>
      <c r="I5" s="693"/>
    </row>
    <row r="6" spans="1:9" ht="18.75" customHeight="1" x14ac:dyDescent="0.25">
      <c r="A6" s="693"/>
      <c r="B6" s="693"/>
      <c r="C6" s="693"/>
      <c r="D6" s="693"/>
      <c r="E6" s="693"/>
      <c r="F6" s="693"/>
      <c r="G6" s="693"/>
      <c r="H6" s="693"/>
      <c r="I6" s="693"/>
    </row>
    <row r="7" spans="1:9" ht="18.75" customHeight="1" x14ac:dyDescent="0.25">
      <c r="A7" s="693"/>
      <c r="B7" s="693"/>
      <c r="C7" s="693"/>
      <c r="D7" s="693"/>
      <c r="E7" s="693"/>
      <c r="F7" s="693"/>
      <c r="G7" s="693"/>
      <c r="H7" s="693"/>
      <c r="I7" s="693"/>
    </row>
    <row r="8" spans="1:9" x14ac:dyDescent="0.25">
      <c r="A8" s="694" t="s">
        <v>43</v>
      </c>
      <c r="B8" s="694"/>
      <c r="C8" s="694"/>
      <c r="D8" s="694"/>
      <c r="E8" s="694"/>
      <c r="F8" s="694"/>
      <c r="G8" s="694"/>
      <c r="H8" s="694"/>
      <c r="I8" s="694"/>
    </row>
    <row r="9" spans="1:9" x14ac:dyDescent="0.25">
      <c r="A9" s="694"/>
      <c r="B9" s="694"/>
      <c r="C9" s="694"/>
      <c r="D9" s="694"/>
      <c r="E9" s="694"/>
      <c r="F9" s="694"/>
      <c r="G9" s="694"/>
      <c r="H9" s="694"/>
      <c r="I9" s="694"/>
    </row>
    <row r="10" spans="1:9" x14ac:dyDescent="0.25">
      <c r="A10" s="694"/>
      <c r="B10" s="694"/>
      <c r="C10" s="694"/>
      <c r="D10" s="694"/>
      <c r="E10" s="694"/>
      <c r="F10" s="694"/>
      <c r="G10" s="694"/>
      <c r="H10" s="694"/>
      <c r="I10" s="694"/>
    </row>
    <row r="11" spans="1:9" x14ac:dyDescent="0.25">
      <c r="A11" s="694"/>
      <c r="B11" s="694"/>
      <c r="C11" s="694"/>
      <c r="D11" s="694"/>
      <c r="E11" s="694"/>
      <c r="F11" s="694"/>
      <c r="G11" s="694"/>
      <c r="H11" s="694"/>
      <c r="I11" s="694"/>
    </row>
    <row r="12" spans="1:9" x14ac:dyDescent="0.25">
      <c r="A12" s="694"/>
      <c r="B12" s="694"/>
      <c r="C12" s="694"/>
      <c r="D12" s="694"/>
      <c r="E12" s="694"/>
      <c r="F12" s="694"/>
      <c r="G12" s="694"/>
      <c r="H12" s="694"/>
      <c r="I12" s="694"/>
    </row>
    <row r="13" spans="1:9" x14ac:dyDescent="0.25">
      <c r="A13" s="694"/>
      <c r="B13" s="694"/>
      <c r="C13" s="694"/>
      <c r="D13" s="694"/>
      <c r="E13" s="694"/>
      <c r="F13" s="694"/>
      <c r="G13" s="694"/>
      <c r="H13" s="694"/>
      <c r="I13" s="694"/>
    </row>
    <row r="14" spans="1:9" x14ac:dyDescent="0.25">
      <c r="A14" s="694"/>
      <c r="B14" s="694"/>
      <c r="C14" s="694"/>
      <c r="D14" s="694"/>
      <c r="E14" s="694"/>
      <c r="F14" s="694"/>
      <c r="G14" s="694"/>
      <c r="H14" s="694"/>
      <c r="I14" s="694"/>
    </row>
    <row r="15" spans="1:9" ht="19.5" customHeight="1" thickBot="1" x14ac:dyDescent="0.35">
      <c r="A15" s="82"/>
    </row>
    <row r="16" spans="1:9" ht="19.5" customHeight="1" thickBot="1" x14ac:dyDescent="0.35">
      <c r="A16" s="695" t="s">
        <v>28</v>
      </c>
      <c r="B16" s="696"/>
      <c r="C16" s="696"/>
      <c r="D16" s="696"/>
      <c r="E16" s="696"/>
      <c r="F16" s="696"/>
      <c r="G16" s="696"/>
      <c r="H16" s="697"/>
    </row>
    <row r="17" spans="1:14" ht="20.25" customHeight="1" x14ac:dyDescent="0.25">
      <c r="A17" s="698" t="s">
        <v>44</v>
      </c>
      <c r="B17" s="698"/>
      <c r="C17" s="698"/>
      <c r="D17" s="698"/>
      <c r="E17" s="698"/>
      <c r="F17" s="698"/>
      <c r="G17" s="698"/>
      <c r="H17" s="698"/>
    </row>
    <row r="18" spans="1:14" ht="26.25" customHeight="1" x14ac:dyDescent="0.4">
      <c r="A18" s="83" t="s">
        <v>30</v>
      </c>
      <c r="B18" s="699" t="s">
        <v>122</v>
      </c>
      <c r="C18" s="699"/>
      <c r="D18" s="84"/>
      <c r="E18" s="85"/>
      <c r="F18" s="86"/>
      <c r="G18" s="86"/>
      <c r="H18" s="86"/>
    </row>
    <row r="19" spans="1:14" ht="26.25" customHeight="1" x14ac:dyDescent="0.4">
      <c r="A19" s="83" t="s">
        <v>31</v>
      </c>
      <c r="B19" s="620" t="s">
        <v>132</v>
      </c>
      <c r="C19" s="86">
        <v>29</v>
      </c>
      <c r="D19" s="86"/>
      <c r="E19" s="86"/>
      <c r="F19" s="86"/>
      <c r="G19" s="86"/>
      <c r="H19" s="86"/>
    </row>
    <row r="20" spans="1:14" ht="26.25" customHeight="1" x14ac:dyDescent="0.4">
      <c r="A20" s="83" t="s">
        <v>32</v>
      </c>
      <c r="B20" s="700" t="s">
        <v>123</v>
      </c>
      <c r="C20" s="700"/>
      <c r="D20" s="86"/>
      <c r="E20" s="86"/>
      <c r="F20" s="86"/>
      <c r="G20" s="86"/>
      <c r="H20" s="86"/>
    </row>
    <row r="21" spans="1:14" ht="26.25" customHeight="1" x14ac:dyDescent="0.4">
      <c r="A21" s="83" t="s">
        <v>33</v>
      </c>
      <c r="B21" s="700" t="s">
        <v>9</v>
      </c>
      <c r="C21" s="700"/>
      <c r="D21" s="700"/>
      <c r="E21" s="700"/>
      <c r="F21" s="700"/>
      <c r="G21" s="700"/>
      <c r="H21" s="700"/>
      <c r="I21" s="87"/>
    </row>
    <row r="22" spans="1:14" ht="26.25" customHeight="1" x14ac:dyDescent="0.4">
      <c r="A22" s="83" t="s">
        <v>34</v>
      </c>
      <c r="B22" s="88">
        <v>42590</v>
      </c>
      <c r="C22" s="86"/>
      <c r="D22" s="86"/>
      <c r="E22" s="86"/>
      <c r="F22" s="86"/>
      <c r="G22" s="86"/>
      <c r="H22" s="86"/>
    </row>
    <row r="23" spans="1:14" ht="26.25" customHeight="1" x14ac:dyDescent="0.4">
      <c r="A23" s="83" t="s">
        <v>35</v>
      </c>
      <c r="B23" s="88">
        <v>42643</v>
      </c>
      <c r="C23" s="86"/>
      <c r="D23" s="86"/>
      <c r="E23" s="86"/>
      <c r="F23" s="86"/>
      <c r="G23" s="86"/>
      <c r="H23" s="86"/>
    </row>
    <row r="24" spans="1:14" ht="18.75" x14ac:dyDescent="0.3">
      <c r="A24" s="83"/>
      <c r="B24" s="89"/>
    </row>
    <row r="25" spans="1:14" ht="18.75" x14ac:dyDescent="0.3">
      <c r="A25" s="90" t="s">
        <v>1</v>
      </c>
      <c r="B25" s="89"/>
    </row>
    <row r="26" spans="1:14" ht="26.25" customHeight="1" x14ac:dyDescent="0.4">
      <c r="A26" s="91" t="s">
        <v>4</v>
      </c>
      <c r="B26" s="699" t="s">
        <v>124</v>
      </c>
      <c r="C26" s="699"/>
    </row>
    <row r="27" spans="1:14" ht="26.25" customHeight="1" x14ac:dyDescent="0.4">
      <c r="A27" s="92" t="s">
        <v>45</v>
      </c>
      <c r="B27" s="701" t="s">
        <v>125</v>
      </c>
      <c r="C27" s="701"/>
    </row>
    <row r="28" spans="1:14" ht="27" customHeight="1" thickBot="1" x14ac:dyDescent="0.45">
      <c r="A28" s="92" t="s">
        <v>6</v>
      </c>
      <c r="B28" s="93">
        <v>98.8</v>
      </c>
    </row>
    <row r="29" spans="1:14" s="12" customFormat="1" ht="27" customHeight="1" thickBot="1" x14ac:dyDescent="0.45">
      <c r="A29" s="92" t="s">
        <v>46</v>
      </c>
      <c r="B29" s="94">
        <v>0</v>
      </c>
      <c r="C29" s="702" t="s">
        <v>47</v>
      </c>
      <c r="D29" s="703"/>
      <c r="E29" s="703"/>
      <c r="F29" s="703"/>
      <c r="G29" s="704"/>
      <c r="I29" s="95"/>
      <c r="J29" s="95"/>
      <c r="K29" s="95"/>
      <c r="L29" s="95"/>
    </row>
    <row r="30" spans="1:14" s="12" customFormat="1" ht="19.5" customHeight="1" thickBot="1" x14ac:dyDescent="0.35">
      <c r="A30" s="92" t="s">
        <v>48</v>
      </c>
      <c r="B30" s="96">
        <f>B28-B29</f>
        <v>98.8</v>
      </c>
      <c r="C30" s="97"/>
      <c r="D30" s="97"/>
      <c r="E30" s="97"/>
      <c r="F30" s="97"/>
      <c r="G30" s="98"/>
      <c r="I30" s="95"/>
      <c r="J30" s="95"/>
      <c r="K30" s="95"/>
      <c r="L30" s="95"/>
    </row>
    <row r="31" spans="1:14" s="12" customFormat="1" ht="27" customHeight="1" thickBot="1" x14ac:dyDescent="0.45">
      <c r="A31" s="92" t="s">
        <v>49</v>
      </c>
      <c r="B31" s="99">
        <v>1</v>
      </c>
      <c r="C31" s="690" t="s">
        <v>50</v>
      </c>
      <c r="D31" s="691"/>
      <c r="E31" s="691"/>
      <c r="F31" s="691"/>
      <c r="G31" s="691"/>
      <c r="H31" s="692"/>
      <c r="I31" s="95"/>
      <c r="J31" s="95"/>
      <c r="K31" s="95"/>
      <c r="L31" s="95"/>
    </row>
    <row r="32" spans="1:14" s="12" customFormat="1" ht="27" customHeight="1" thickBot="1" x14ac:dyDescent="0.45">
      <c r="A32" s="92" t="s">
        <v>51</v>
      </c>
      <c r="B32" s="99">
        <v>1</v>
      </c>
      <c r="C32" s="690" t="s">
        <v>52</v>
      </c>
      <c r="D32" s="691"/>
      <c r="E32" s="691"/>
      <c r="F32" s="691"/>
      <c r="G32" s="691"/>
      <c r="H32" s="692"/>
      <c r="I32" s="95"/>
      <c r="J32" s="95"/>
      <c r="K32" s="95"/>
      <c r="L32" s="100"/>
      <c r="M32" s="100"/>
      <c r="N32" s="101"/>
    </row>
    <row r="33" spans="1:14" s="12" customFormat="1" ht="17.25" customHeight="1" x14ac:dyDescent="0.3">
      <c r="A33" s="92"/>
      <c r="B33" s="102"/>
      <c r="C33" s="103"/>
      <c r="D33" s="103"/>
      <c r="E33" s="103"/>
      <c r="F33" s="103"/>
      <c r="G33" s="103"/>
      <c r="H33" s="103"/>
      <c r="I33" s="95"/>
      <c r="J33" s="95"/>
      <c r="K33" s="95"/>
      <c r="L33" s="100"/>
      <c r="M33" s="100"/>
      <c r="N33" s="101"/>
    </row>
    <row r="34" spans="1:14" s="12" customFormat="1" ht="18.75" x14ac:dyDescent="0.3">
      <c r="A34" s="92" t="s">
        <v>53</v>
      </c>
      <c r="B34" s="104">
        <f>B31/B32</f>
        <v>1</v>
      </c>
      <c r="C34" s="82" t="s">
        <v>54</v>
      </c>
      <c r="D34" s="82"/>
      <c r="E34" s="82"/>
      <c r="F34" s="82"/>
      <c r="G34" s="82"/>
      <c r="I34" s="95"/>
      <c r="J34" s="95"/>
      <c r="K34" s="95"/>
      <c r="L34" s="100"/>
      <c r="M34" s="100"/>
      <c r="N34" s="101"/>
    </row>
    <row r="35" spans="1:14" s="12" customFormat="1" ht="19.5" customHeight="1" thickBot="1" x14ac:dyDescent="0.35">
      <c r="A35" s="92"/>
      <c r="B35" s="96"/>
      <c r="G35" s="82"/>
      <c r="I35" s="95"/>
      <c r="J35" s="95"/>
      <c r="K35" s="95"/>
      <c r="L35" s="100"/>
      <c r="M35" s="100"/>
      <c r="N35" s="101"/>
    </row>
    <row r="36" spans="1:14" s="12" customFormat="1" ht="27" customHeight="1" thickBot="1" x14ac:dyDescent="0.45">
      <c r="A36" s="105" t="s">
        <v>55</v>
      </c>
      <c r="B36" s="106">
        <v>50</v>
      </c>
      <c r="C36" s="82"/>
      <c r="D36" s="705" t="s">
        <v>56</v>
      </c>
      <c r="E36" s="706"/>
      <c r="F36" s="705" t="s">
        <v>57</v>
      </c>
      <c r="G36" s="707"/>
      <c r="J36" s="95"/>
      <c r="K36" s="95"/>
      <c r="L36" s="100"/>
      <c r="M36" s="100"/>
      <c r="N36" s="101"/>
    </row>
    <row r="37" spans="1:14" s="12" customFormat="1" ht="27" customHeight="1" thickBot="1" x14ac:dyDescent="0.45">
      <c r="A37" s="107" t="s">
        <v>58</v>
      </c>
      <c r="B37" s="108">
        <v>10</v>
      </c>
      <c r="C37" s="109" t="s">
        <v>59</v>
      </c>
      <c r="D37" s="110" t="s">
        <v>60</v>
      </c>
      <c r="E37" s="111" t="s">
        <v>61</v>
      </c>
      <c r="F37" s="110" t="s">
        <v>60</v>
      </c>
      <c r="G37" s="112" t="s">
        <v>61</v>
      </c>
      <c r="I37" s="113" t="s">
        <v>62</v>
      </c>
      <c r="J37" s="95"/>
      <c r="K37" s="95"/>
      <c r="L37" s="100"/>
      <c r="M37" s="100"/>
      <c r="N37" s="101"/>
    </row>
    <row r="38" spans="1:14" s="12" customFormat="1" ht="26.25" customHeight="1" x14ac:dyDescent="0.4">
      <c r="A38" s="107" t="s">
        <v>63</v>
      </c>
      <c r="B38" s="108">
        <v>25</v>
      </c>
      <c r="C38" s="114">
        <v>1</v>
      </c>
      <c r="D38" s="115">
        <v>22432835</v>
      </c>
      <c r="E38" s="116">
        <f>IF(ISBLANK(D38),"-",$D$48/$D$45*D38)</f>
        <v>23391447.715998575</v>
      </c>
      <c r="F38" s="115">
        <v>23998399</v>
      </c>
      <c r="G38" s="117">
        <f>IF(ISBLANK(F38),"-",$D$48/$F$45*F38)</f>
        <v>23491177.495516803</v>
      </c>
      <c r="I38" s="118"/>
      <c r="J38" s="95"/>
      <c r="K38" s="95"/>
      <c r="L38" s="100"/>
      <c r="M38" s="100"/>
      <c r="N38" s="101"/>
    </row>
    <row r="39" spans="1:14" s="12" customFormat="1" ht="26.25" customHeight="1" x14ac:dyDescent="0.4">
      <c r="A39" s="107" t="s">
        <v>64</v>
      </c>
      <c r="B39" s="108">
        <v>1</v>
      </c>
      <c r="C39" s="119">
        <v>2</v>
      </c>
      <c r="D39" s="120">
        <v>22297044</v>
      </c>
      <c r="E39" s="121">
        <f>IF(ISBLANK(D39),"-",$D$48/$D$45*D39)</f>
        <v>23249854.017440051</v>
      </c>
      <c r="F39" s="120">
        <v>23979670</v>
      </c>
      <c r="G39" s="122">
        <f>IF(ISBLANK(F39),"-",$D$48/$F$45*F39)</f>
        <v>23472844.344904818</v>
      </c>
      <c r="I39" s="708">
        <f>ABS((F43/D43*D42)-F42)/D42</f>
        <v>8.2812905211067014E-3</v>
      </c>
      <c r="J39" s="95"/>
      <c r="K39" s="95"/>
      <c r="L39" s="100"/>
      <c r="M39" s="100"/>
      <c r="N39" s="101"/>
    </row>
    <row r="40" spans="1:14" ht="26.25" customHeight="1" x14ac:dyDescent="0.4">
      <c r="A40" s="107" t="s">
        <v>65</v>
      </c>
      <c r="B40" s="108">
        <v>1</v>
      </c>
      <c r="C40" s="119">
        <v>3</v>
      </c>
      <c r="D40" s="120">
        <v>22238468</v>
      </c>
      <c r="E40" s="121">
        <f>IF(ISBLANK(D40),"-",$D$48/$D$45*D40)</f>
        <v>23188774.914356899</v>
      </c>
      <c r="F40" s="120">
        <v>23914363</v>
      </c>
      <c r="G40" s="122">
        <f>IF(ISBLANK(F40),"-",$D$48/$F$45*F40)</f>
        <v>23408917.650099061</v>
      </c>
      <c r="I40" s="708"/>
      <c r="L40" s="100"/>
      <c r="M40" s="100"/>
      <c r="N40" s="82"/>
    </row>
    <row r="41" spans="1:14" ht="27" customHeight="1" thickBot="1" x14ac:dyDescent="0.45">
      <c r="A41" s="107" t="s">
        <v>66</v>
      </c>
      <c r="B41" s="108">
        <v>1</v>
      </c>
      <c r="C41" s="123">
        <v>4</v>
      </c>
      <c r="D41" s="124"/>
      <c r="E41" s="125" t="str">
        <f>IF(ISBLANK(D41),"-",$D$48/$D$45*D41)</f>
        <v>-</v>
      </c>
      <c r="F41" s="124"/>
      <c r="G41" s="126" t="str">
        <f>IF(ISBLANK(F41),"-",$D$48/$F$45*F41)</f>
        <v>-</v>
      </c>
      <c r="I41" s="127"/>
      <c r="L41" s="100"/>
      <c r="M41" s="100"/>
      <c r="N41" s="82"/>
    </row>
    <row r="42" spans="1:14" ht="27" customHeight="1" thickBot="1" x14ac:dyDescent="0.45">
      <c r="A42" s="107" t="s">
        <v>67</v>
      </c>
      <c r="B42" s="108">
        <v>1</v>
      </c>
      <c r="C42" s="128" t="s">
        <v>68</v>
      </c>
      <c r="D42" s="129">
        <f>AVERAGE(D38:D41)</f>
        <v>22322782.333333332</v>
      </c>
      <c r="E42" s="130">
        <f>AVERAGE(E38:E41)</f>
        <v>23276692.215931844</v>
      </c>
      <c r="F42" s="129">
        <f>AVERAGE(F38:F41)</f>
        <v>23964144</v>
      </c>
      <c r="G42" s="131">
        <f>AVERAGE(G38:G41)</f>
        <v>23457646.496840227</v>
      </c>
      <c r="H42" s="31"/>
    </row>
    <row r="43" spans="1:14" ht="26.25" customHeight="1" x14ac:dyDescent="0.4">
      <c r="A43" s="107" t="s">
        <v>69</v>
      </c>
      <c r="B43" s="108">
        <v>1</v>
      </c>
      <c r="C43" s="132" t="s">
        <v>70</v>
      </c>
      <c r="D43" s="133">
        <v>14.56</v>
      </c>
      <c r="E43" s="82"/>
      <c r="F43" s="133">
        <v>15.51</v>
      </c>
      <c r="H43" s="31"/>
    </row>
    <row r="44" spans="1:14" ht="26.25" customHeight="1" x14ac:dyDescent="0.4">
      <c r="A44" s="107" t="s">
        <v>71</v>
      </c>
      <c r="B44" s="108">
        <v>1</v>
      </c>
      <c r="C44" s="134" t="s">
        <v>72</v>
      </c>
      <c r="D44" s="135">
        <f>D43*$B$34</f>
        <v>14.56</v>
      </c>
      <c r="E44" s="136"/>
      <c r="F44" s="135">
        <f>F43*$B$34</f>
        <v>15.51</v>
      </c>
      <c r="H44" s="31"/>
    </row>
    <row r="45" spans="1:14" ht="19.5" customHeight="1" thickBot="1" x14ac:dyDescent="0.35">
      <c r="A45" s="107" t="s">
        <v>73</v>
      </c>
      <c r="B45" s="119">
        <f>(B44/B43)*(B42/B41)*(B40/B39)*(B38/B37)*B36</f>
        <v>125</v>
      </c>
      <c r="C45" s="134" t="s">
        <v>74</v>
      </c>
      <c r="D45" s="137">
        <f>D44*$B$30/100</f>
        <v>14.38528</v>
      </c>
      <c r="E45" s="138"/>
      <c r="F45" s="137">
        <f>F44*$B$30/100</f>
        <v>15.323879999999999</v>
      </c>
      <c r="H45" s="31"/>
    </row>
    <row r="46" spans="1:14" ht="19.5" customHeight="1" thickBot="1" x14ac:dyDescent="0.35">
      <c r="A46" s="709" t="s">
        <v>75</v>
      </c>
      <c r="B46" s="710"/>
      <c r="C46" s="134" t="s">
        <v>76</v>
      </c>
      <c r="D46" s="139">
        <f>D45/$B$45</f>
        <v>0.11508224</v>
      </c>
      <c r="E46" s="140"/>
      <c r="F46" s="141">
        <f>F45/$B$45</f>
        <v>0.12259104</v>
      </c>
      <c r="H46" s="31"/>
    </row>
    <row r="47" spans="1:14" ht="27" customHeight="1" thickBot="1" x14ac:dyDescent="0.45">
      <c r="A47" s="711"/>
      <c r="B47" s="712"/>
      <c r="C47" s="142" t="s">
        <v>77</v>
      </c>
      <c r="D47" s="143">
        <v>0.12</v>
      </c>
      <c r="E47" s="144"/>
      <c r="F47" s="140"/>
      <c r="H47" s="31"/>
    </row>
    <row r="48" spans="1:14" ht="18.75" x14ac:dyDescent="0.3">
      <c r="C48" s="145" t="s">
        <v>78</v>
      </c>
      <c r="D48" s="137">
        <f>D47*$B$45</f>
        <v>15</v>
      </c>
      <c r="F48" s="146"/>
      <c r="H48" s="31"/>
    </row>
    <row r="49" spans="1:12" ht="19.5" customHeight="1" thickBot="1" x14ac:dyDescent="0.35">
      <c r="C49" s="147" t="s">
        <v>79</v>
      </c>
      <c r="D49" s="148">
        <f>D48/B34</f>
        <v>15</v>
      </c>
      <c r="F49" s="146"/>
      <c r="H49" s="31"/>
    </row>
    <row r="50" spans="1:12" ht="18.75" x14ac:dyDescent="0.3">
      <c r="C50" s="105" t="s">
        <v>80</v>
      </c>
      <c r="D50" s="149">
        <f>AVERAGE(E38:E41,G38:G41)</f>
        <v>23367169.356386036</v>
      </c>
      <c r="F50" s="150"/>
      <c r="H50" s="31"/>
    </row>
    <row r="51" spans="1:12" ht="18.75" x14ac:dyDescent="0.3">
      <c r="C51" s="107" t="s">
        <v>81</v>
      </c>
      <c r="D51" s="151">
        <f>STDEV(E38:E41,G38:G41)/D50</f>
        <v>5.2225802664322548E-3</v>
      </c>
      <c r="F51" s="150"/>
      <c r="H51" s="31"/>
    </row>
    <row r="52" spans="1:12" ht="19.5" customHeight="1" thickBot="1" x14ac:dyDescent="0.35">
      <c r="C52" s="152" t="s">
        <v>17</v>
      </c>
      <c r="D52" s="153">
        <f>COUNT(E38:E41,G38:G41)</f>
        <v>6</v>
      </c>
      <c r="F52" s="150"/>
    </row>
    <row r="54" spans="1:12" ht="18.75" x14ac:dyDescent="0.3">
      <c r="A54" s="154" t="s">
        <v>1</v>
      </c>
      <c r="B54" s="155" t="s">
        <v>82</v>
      </c>
    </row>
    <row r="55" spans="1:12" ht="18.75" x14ac:dyDescent="0.3">
      <c r="A55" s="82" t="s">
        <v>83</v>
      </c>
      <c r="B55" s="156" t="str">
        <f>B21</f>
        <v>Tenofovir Disoproxil Fumarate 300mg, Lamivudine 300mg, Efavirenz 600mg</v>
      </c>
    </row>
    <row r="56" spans="1:12" ht="26.25" customHeight="1" x14ac:dyDescent="0.4">
      <c r="A56" s="156" t="s">
        <v>84</v>
      </c>
      <c r="B56" s="157">
        <v>300</v>
      </c>
      <c r="C56" s="82" t="str">
        <f>B20</f>
        <v xml:space="preserve">Tenofovir Disoproxil Fumarate 300mg, Lamivudine 300mg &amp; Efavirenz 600mg </v>
      </c>
      <c r="H56" s="136"/>
    </row>
    <row r="57" spans="1:12" ht="18.75" x14ac:dyDescent="0.3">
      <c r="A57" s="156" t="s">
        <v>85</v>
      </c>
      <c r="B57" s="158">
        <f>Uniformity!C46</f>
        <v>1890.5280000000002</v>
      </c>
      <c r="H57" s="136"/>
    </row>
    <row r="58" spans="1:12" ht="19.5" customHeight="1" thickBot="1" x14ac:dyDescent="0.35">
      <c r="H58" s="136"/>
    </row>
    <row r="59" spans="1:12" s="12" customFormat="1" ht="27" customHeight="1" thickBot="1" x14ac:dyDescent="0.45">
      <c r="A59" s="105" t="s">
        <v>86</v>
      </c>
      <c r="B59" s="106">
        <v>250</v>
      </c>
      <c r="C59" s="82"/>
      <c r="D59" s="159" t="s">
        <v>87</v>
      </c>
      <c r="E59" s="160" t="s">
        <v>59</v>
      </c>
      <c r="F59" s="160" t="s">
        <v>60</v>
      </c>
      <c r="G59" s="160" t="s">
        <v>88</v>
      </c>
      <c r="H59" s="109" t="s">
        <v>89</v>
      </c>
      <c r="L59" s="95"/>
    </row>
    <row r="60" spans="1:12" s="12" customFormat="1" ht="26.25" customHeight="1" x14ac:dyDescent="0.4">
      <c r="A60" s="107" t="s">
        <v>90</v>
      </c>
      <c r="B60" s="108">
        <v>3</v>
      </c>
      <c r="C60" s="713" t="s">
        <v>91</v>
      </c>
      <c r="D60" s="716">
        <v>1885.26</v>
      </c>
      <c r="E60" s="161">
        <v>1</v>
      </c>
      <c r="F60" s="162">
        <v>27735214</v>
      </c>
      <c r="G60" s="163">
        <f>IF(ISBLANK(F60),"-",(F60/$D$50*$D$47*$B$68)*($B$57/$D$60))</f>
        <v>297.56187355041624</v>
      </c>
      <c r="H60" s="164">
        <f t="shared" ref="H60:H71" si="0">IF(ISBLANK(F60),"-",G60/$B$56)</f>
        <v>0.99187291183472082</v>
      </c>
      <c r="L60" s="95"/>
    </row>
    <row r="61" spans="1:12" s="12" customFormat="1" ht="26.25" customHeight="1" x14ac:dyDescent="0.4">
      <c r="A61" s="107" t="s">
        <v>92</v>
      </c>
      <c r="B61" s="108">
        <v>25</v>
      </c>
      <c r="C61" s="714"/>
      <c r="D61" s="717"/>
      <c r="E61" s="165">
        <v>2</v>
      </c>
      <c r="F61" s="120">
        <v>27627916</v>
      </c>
      <c r="G61" s="166">
        <f>IF(ISBLANK(F61),"-",(F61/$D$50*$D$47*$B$68)*($B$57/$D$60))</f>
        <v>296.41070904495353</v>
      </c>
      <c r="H61" s="167">
        <f t="shared" si="0"/>
        <v>0.98803569681651182</v>
      </c>
      <c r="L61" s="95"/>
    </row>
    <row r="62" spans="1:12" s="12" customFormat="1" ht="26.25" customHeight="1" x14ac:dyDescent="0.4">
      <c r="A62" s="107" t="s">
        <v>93</v>
      </c>
      <c r="B62" s="108">
        <v>1</v>
      </c>
      <c r="C62" s="714"/>
      <c r="D62" s="717"/>
      <c r="E62" s="165">
        <v>3</v>
      </c>
      <c r="F62" s="168">
        <v>27628251</v>
      </c>
      <c r="G62" s="166">
        <f>IF(ISBLANK(F62),"-",(F62/$D$50*$D$47*$B$68)*($B$57/$D$60))</f>
        <v>296.41430314837891</v>
      </c>
      <c r="H62" s="167">
        <f t="shared" si="0"/>
        <v>0.98804767716126307</v>
      </c>
      <c r="L62" s="95"/>
    </row>
    <row r="63" spans="1:12" ht="27" customHeight="1" thickBot="1" x14ac:dyDescent="0.45">
      <c r="A63" s="107" t="s">
        <v>94</v>
      </c>
      <c r="B63" s="108">
        <v>1</v>
      </c>
      <c r="C63" s="715"/>
      <c r="D63" s="718"/>
      <c r="E63" s="169">
        <v>4</v>
      </c>
      <c r="F63" s="170"/>
      <c r="G63" s="166" t="str">
        <f>IF(ISBLANK(F63),"-",(F63/$D$50*$D$47*$B$68)*($B$57/$D$60))</f>
        <v>-</v>
      </c>
      <c r="H63" s="167" t="str">
        <f t="shared" si="0"/>
        <v>-</v>
      </c>
    </row>
    <row r="64" spans="1:12" ht="26.25" customHeight="1" x14ac:dyDescent="0.4">
      <c r="A64" s="107" t="s">
        <v>95</v>
      </c>
      <c r="B64" s="108">
        <v>1</v>
      </c>
      <c r="C64" s="713" t="s">
        <v>96</v>
      </c>
      <c r="D64" s="716">
        <v>1899.38</v>
      </c>
      <c r="E64" s="161">
        <v>1</v>
      </c>
      <c r="F64" s="162">
        <v>27656343</v>
      </c>
      <c r="G64" s="171">
        <f>IF(ISBLANK(F64),"-",(F64/$D$50*$D$47*$B$68)*($B$57/$D$64))</f>
        <v>294.50990698091908</v>
      </c>
      <c r="H64" s="172">
        <f t="shared" si="0"/>
        <v>0.98169968993639689</v>
      </c>
    </row>
    <row r="65" spans="1:8" ht="26.25" customHeight="1" x14ac:dyDescent="0.4">
      <c r="A65" s="107" t="s">
        <v>97</v>
      </c>
      <c r="B65" s="108">
        <v>1</v>
      </c>
      <c r="C65" s="714"/>
      <c r="D65" s="717"/>
      <c r="E65" s="165">
        <v>2</v>
      </c>
      <c r="F65" s="120">
        <v>27796187</v>
      </c>
      <c r="G65" s="173">
        <f>IF(ISBLANK(F65),"-",(F65/$D$50*$D$47*$B$68)*($B$57/$D$64))</f>
        <v>295.9990931481517</v>
      </c>
      <c r="H65" s="174">
        <f t="shared" si="0"/>
        <v>0.98666364382717231</v>
      </c>
    </row>
    <row r="66" spans="1:8" ht="26.25" customHeight="1" x14ac:dyDescent="0.4">
      <c r="A66" s="107" t="s">
        <v>98</v>
      </c>
      <c r="B66" s="108">
        <v>1</v>
      </c>
      <c r="C66" s="714"/>
      <c r="D66" s="717"/>
      <c r="E66" s="165">
        <v>3</v>
      </c>
      <c r="F66" s="120">
        <v>27655159</v>
      </c>
      <c r="G66" s="173">
        <f>IF(ISBLANK(F66),"-",(F66/$D$50*$D$47*$B$68)*($B$57/$D$64))</f>
        <v>294.49729867150296</v>
      </c>
      <c r="H66" s="174">
        <f t="shared" si="0"/>
        <v>0.98165766223834316</v>
      </c>
    </row>
    <row r="67" spans="1:8" ht="27" customHeight="1" thickBot="1" x14ac:dyDescent="0.45">
      <c r="A67" s="107" t="s">
        <v>99</v>
      </c>
      <c r="B67" s="108">
        <v>1</v>
      </c>
      <c r="C67" s="715"/>
      <c r="D67" s="718"/>
      <c r="E67" s="169">
        <v>4</v>
      </c>
      <c r="F67" s="170"/>
      <c r="G67" s="175" t="str">
        <f>IF(ISBLANK(F67),"-",(F67/$D$50*$D$47*$B$68)*($B$57/$D$64))</f>
        <v>-</v>
      </c>
      <c r="H67" s="176" t="str">
        <f t="shared" si="0"/>
        <v>-</v>
      </c>
    </row>
    <row r="68" spans="1:8" ht="26.25" customHeight="1" x14ac:dyDescent="0.4">
      <c r="A68" s="107" t="s">
        <v>100</v>
      </c>
      <c r="B68" s="177">
        <f>(B67/B66)*(B65/B64)*(B63/B62)*(B61/B60)*B59</f>
        <v>2083.3333333333335</v>
      </c>
      <c r="C68" s="713" t="s">
        <v>101</v>
      </c>
      <c r="D68" s="716">
        <v>1879.85</v>
      </c>
      <c r="E68" s="161">
        <v>1</v>
      </c>
      <c r="F68" s="162">
        <v>27178655</v>
      </c>
      <c r="G68" s="171">
        <f>IF(ISBLANK(F68),"-",(F68/$D$50*$D$47*$B$68)*($B$57/$D$68))</f>
        <v>292.42990323830259</v>
      </c>
      <c r="H68" s="167">
        <f t="shared" si="0"/>
        <v>0.97476634412767527</v>
      </c>
    </row>
    <row r="69" spans="1:8" ht="27" customHeight="1" thickBot="1" x14ac:dyDescent="0.45">
      <c r="A69" s="152" t="s">
        <v>102</v>
      </c>
      <c r="B69" s="178">
        <f>(D47*B68)/B56*B57</f>
        <v>1575.4400000000003</v>
      </c>
      <c r="C69" s="714"/>
      <c r="D69" s="717"/>
      <c r="E69" s="165">
        <v>2</v>
      </c>
      <c r="F69" s="120">
        <v>27274452</v>
      </c>
      <c r="G69" s="173">
        <f>IF(ISBLANK(F69),"-",(F69/$D$50*$D$47*$B$68)*($B$57/$D$68))</f>
        <v>293.46063516526959</v>
      </c>
      <c r="H69" s="167">
        <f t="shared" si="0"/>
        <v>0.97820211721756534</v>
      </c>
    </row>
    <row r="70" spans="1:8" ht="26.25" customHeight="1" x14ac:dyDescent="0.4">
      <c r="A70" s="721" t="s">
        <v>75</v>
      </c>
      <c r="B70" s="722"/>
      <c r="C70" s="714"/>
      <c r="D70" s="717"/>
      <c r="E70" s="165">
        <v>3</v>
      </c>
      <c r="F70" s="120">
        <v>27170502</v>
      </c>
      <c r="G70" s="173">
        <f>IF(ISBLANK(F70),"-",(F70/$D$50*$D$47*$B$68)*($B$57/$D$68))</f>
        <v>292.34218068539843</v>
      </c>
      <c r="H70" s="167">
        <f t="shared" si="0"/>
        <v>0.97447393561799478</v>
      </c>
    </row>
    <row r="71" spans="1:8" ht="27" customHeight="1" thickBot="1" x14ac:dyDescent="0.45">
      <c r="A71" s="723"/>
      <c r="B71" s="724"/>
      <c r="C71" s="719"/>
      <c r="D71" s="718"/>
      <c r="E71" s="169">
        <v>4</v>
      </c>
      <c r="F71" s="170"/>
      <c r="G71" s="175" t="str">
        <f>IF(ISBLANK(F71),"-",(F71/$D$50*$D$47*$B$68)*($B$57/$D$68))</f>
        <v>-</v>
      </c>
      <c r="H71" s="179" t="str">
        <f t="shared" si="0"/>
        <v>-</v>
      </c>
    </row>
    <row r="72" spans="1:8" ht="26.25" customHeight="1" x14ac:dyDescent="0.4">
      <c r="A72" s="136"/>
      <c r="B72" s="136"/>
      <c r="C72" s="136"/>
      <c r="D72" s="136"/>
      <c r="E72" s="136"/>
      <c r="F72" s="180" t="s">
        <v>68</v>
      </c>
      <c r="G72" s="181">
        <f>AVERAGE(G60:G71)</f>
        <v>294.84732262592149</v>
      </c>
      <c r="H72" s="182">
        <f>AVERAGE(H60:H71)</f>
        <v>0.98282440875307153</v>
      </c>
    </row>
    <row r="73" spans="1:8" ht="26.25" customHeight="1" x14ac:dyDescent="0.4">
      <c r="C73" s="136"/>
      <c r="D73" s="136"/>
      <c r="E73" s="136"/>
      <c r="F73" s="183" t="s">
        <v>81</v>
      </c>
      <c r="G73" s="184">
        <f>STDEV(G60:G71)/G72</f>
        <v>6.3307708346602865E-3</v>
      </c>
      <c r="H73" s="184">
        <f>STDEV(H60:H71)/H72</f>
        <v>6.3307708346603021E-3</v>
      </c>
    </row>
    <row r="74" spans="1:8" ht="27" customHeight="1" thickBot="1" x14ac:dyDescent="0.45">
      <c r="A74" s="136"/>
      <c r="B74" s="136"/>
      <c r="C74" s="136"/>
      <c r="D74" s="136"/>
      <c r="E74" s="138"/>
      <c r="F74" s="185" t="s">
        <v>17</v>
      </c>
      <c r="G74" s="186">
        <f>COUNT(G60:G71)</f>
        <v>9</v>
      </c>
      <c r="H74" s="186">
        <f>COUNT(H60:H71)</f>
        <v>9</v>
      </c>
    </row>
    <row r="76" spans="1:8" ht="26.25" customHeight="1" x14ac:dyDescent="0.4">
      <c r="A76" s="91" t="s">
        <v>103</v>
      </c>
      <c r="B76" s="92" t="s">
        <v>104</v>
      </c>
      <c r="C76" s="725" t="str">
        <f>B20</f>
        <v xml:space="preserve">Tenofovir Disoproxil Fumarate 300mg, Lamivudine 300mg &amp; Efavirenz 600mg </v>
      </c>
      <c r="D76" s="725"/>
      <c r="E76" s="82" t="s">
        <v>105</v>
      </c>
      <c r="F76" s="82"/>
      <c r="G76" s="187">
        <f>H72</f>
        <v>0.98282440875307153</v>
      </c>
      <c r="H76" s="96"/>
    </row>
    <row r="77" spans="1:8" ht="18.75" x14ac:dyDescent="0.3">
      <c r="A77" s="90" t="s">
        <v>106</v>
      </c>
      <c r="B77" s="90" t="s">
        <v>107</v>
      </c>
    </row>
    <row r="78" spans="1:8" ht="18.75" x14ac:dyDescent="0.3">
      <c r="A78" s="90"/>
      <c r="B78" s="90"/>
    </row>
    <row r="79" spans="1:8" ht="26.25" customHeight="1" x14ac:dyDescent="0.4">
      <c r="A79" s="91" t="s">
        <v>4</v>
      </c>
      <c r="B79" s="720" t="str">
        <f>B26</f>
        <v>Tenofovir Disoproxil Fumurate</v>
      </c>
      <c r="C79" s="720"/>
    </row>
    <row r="80" spans="1:8" ht="26.25" customHeight="1" x14ac:dyDescent="0.4">
      <c r="A80" s="92" t="s">
        <v>45</v>
      </c>
      <c r="B80" s="720" t="str">
        <f>B27</f>
        <v>T11-8</v>
      </c>
      <c r="C80" s="720"/>
    </row>
    <row r="81" spans="1:12" ht="27" customHeight="1" thickBot="1" x14ac:dyDescent="0.45">
      <c r="A81" s="92" t="s">
        <v>6</v>
      </c>
      <c r="B81" s="93">
        <f>B28</f>
        <v>98.8</v>
      </c>
    </row>
    <row r="82" spans="1:12" s="12" customFormat="1" ht="27" customHeight="1" thickBot="1" x14ac:dyDescent="0.45">
      <c r="A82" s="92" t="s">
        <v>46</v>
      </c>
      <c r="B82" s="94">
        <v>0</v>
      </c>
      <c r="C82" s="702" t="s">
        <v>47</v>
      </c>
      <c r="D82" s="703"/>
      <c r="E82" s="703"/>
      <c r="F82" s="703"/>
      <c r="G82" s="704"/>
      <c r="I82" s="95"/>
      <c r="J82" s="95"/>
      <c r="K82" s="95"/>
      <c r="L82" s="95"/>
    </row>
    <row r="83" spans="1:12" s="12" customFormat="1" ht="19.5" customHeight="1" thickBot="1" x14ac:dyDescent="0.35">
      <c r="A83" s="92" t="s">
        <v>48</v>
      </c>
      <c r="B83" s="96">
        <f>B81-B82</f>
        <v>98.8</v>
      </c>
      <c r="C83" s="97"/>
      <c r="D83" s="97"/>
      <c r="E83" s="97"/>
      <c r="F83" s="97"/>
      <c r="G83" s="98"/>
      <c r="I83" s="95"/>
      <c r="J83" s="95"/>
      <c r="K83" s="95"/>
      <c r="L83" s="95"/>
    </row>
    <row r="84" spans="1:12" s="12" customFormat="1" ht="27" customHeight="1" thickBot="1" x14ac:dyDescent="0.45">
      <c r="A84" s="92" t="s">
        <v>49</v>
      </c>
      <c r="B84" s="99">
        <v>1</v>
      </c>
      <c r="C84" s="690" t="s">
        <v>108</v>
      </c>
      <c r="D84" s="691"/>
      <c r="E84" s="691"/>
      <c r="F84" s="691"/>
      <c r="G84" s="691"/>
      <c r="H84" s="692"/>
      <c r="I84" s="95"/>
      <c r="J84" s="95"/>
      <c r="K84" s="95"/>
      <c r="L84" s="95"/>
    </row>
    <row r="85" spans="1:12" s="12" customFormat="1" ht="27" customHeight="1" thickBot="1" x14ac:dyDescent="0.45">
      <c r="A85" s="92" t="s">
        <v>51</v>
      </c>
      <c r="B85" s="99">
        <v>1</v>
      </c>
      <c r="C85" s="690" t="s">
        <v>109</v>
      </c>
      <c r="D85" s="691"/>
      <c r="E85" s="691"/>
      <c r="F85" s="691"/>
      <c r="G85" s="691"/>
      <c r="H85" s="692"/>
      <c r="I85" s="95"/>
      <c r="J85" s="95"/>
      <c r="K85" s="95"/>
      <c r="L85" s="95"/>
    </row>
    <row r="86" spans="1:12" s="12" customFormat="1" ht="18.75" x14ac:dyDescent="0.3">
      <c r="A86" s="92"/>
      <c r="B86" s="102"/>
      <c r="C86" s="103"/>
      <c r="D86" s="103"/>
      <c r="E86" s="103"/>
      <c r="F86" s="103"/>
      <c r="G86" s="103"/>
      <c r="H86" s="103"/>
      <c r="I86" s="95"/>
      <c r="J86" s="95"/>
      <c r="K86" s="95"/>
      <c r="L86" s="95"/>
    </row>
    <row r="87" spans="1:12" s="12" customFormat="1" ht="18.75" x14ac:dyDescent="0.3">
      <c r="A87" s="92" t="s">
        <v>53</v>
      </c>
      <c r="B87" s="104">
        <f>B84/B85</f>
        <v>1</v>
      </c>
      <c r="C87" s="82" t="s">
        <v>54</v>
      </c>
      <c r="D87" s="82"/>
      <c r="E87" s="82"/>
      <c r="F87" s="82"/>
      <c r="G87" s="82"/>
      <c r="I87" s="95"/>
      <c r="J87" s="95"/>
      <c r="K87" s="95"/>
      <c r="L87" s="95"/>
    </row>
    <row r="88" spans="1:12" ht="19.5" customHeight="1" thickBot="1" x14ac:dyDescent="0.35">
      <c r="A88" s="90"/>
      <c r="B88" s="90"/>
    </row>
    <row r="89" spans="1:12" ht="27" customHeight="1" thickBot="1" x14ac:dyDescent="0.45">
      <c r="A89" s="105" t="s">
        <v>55</v>
      </c>
      <c r="B89" s="106">
        <v>50</v>
      </c>
      <c r="D89" s="188" t="s">
        <v>56</v>
      </c>
      <c r="E89" s="189"/>
      <c r="F89" s="705" t="s">
        <v>57</v>
      </c>
      <c r="G89" s="707"/>
    </row>
    <row r="90" spans="1:12" ht="27" customHeight="1" thickBot="1" x14ac:dyDescent="0.45">
      <c r="A90" s="107" t="s">
        <v>58</v>
      </c>
      <c r="B90" s="108">
        <v>1</v>
      </c>
      <c r="C90" s="190" t="s">
        <v>59</v>
      </c>
      <c r="D90" s="110" t="s">
        <v>60</v>
      </c>
      <c r="E90" s="111" t="s">
        <v>61</v>
      </c>
      <c r="F90" s="110" t="s">
        <v>60</v>
      </c>
      <c r="G90" s="191" t="s">
        <v>61</v>
      </c>
      <c r="I90" s="113" t="s">
        <v>62</v>
      </c>
    </row>
    <row r="91" spans="1:12" ht="26.25" customHeight="1" x14ac:dyDescent="0.4">
      <c r="A91" s="107" t="s">
        <v>63</v>
      </c>
      <c r="B91" s="108">
        <v>1</v>
      </c>
      <c r="C91" s="192">
        <v>1</v>
      </c>
      <c r="D91" s="115">
        <v>76442268</v>
      </c>
      <c r="E91" s="116">
        <f>IF(ISBLANK(D91),"-",$D$101/$D$98*D91)</f>
        <v>74299663.827647522</v>
      </c>
      <c r="F91" s="115">
        <v>69666184</v>
      </c>
      <c r="G91" s="117">
        <f>IF(ISBLANK(F91),"-",$D$101/$F$98*F91)</f>
        <v>73809140.248226464</v>
      </c>
      <c r="I91" s="118"/>
    </row>
    <row r="92" spans="1:12" ht="26.25" customHeight="1" x14ac:dyDescent="0.4">
      <c r="A92" s="107" t="s">
        <v>64</v>
      </c>
      <c r="B92" s="108">
        <v>1</v>
      </c>
      <c r="C92" s="136">
        <v>2</v>
      </c>
      <c r="D92" s="120">
        <v>76602979</v>
      </c>
      <c r="E92" s="121">
        <f>IF(ISBLANK(D92),"-",$D$101/$D$98*D92)</f>
        <v>74455870.250949949</v>
      </c>
      <c r="F92" s="120">
        <v>69294455</v>
      </c>
      <c r="G92" s="122">
        <f>IF(ISBLANK(F92),"-",$D$101/$F$98*F92)</f>
        <v>73415305.013970867</v>
      </c>
      <c r="I92" s="708">
        <f>ABS((F96/D96*D95)-F95)/D95</f>
        <v>6.9171765164186307E-3</v>
      </c>
    </row>
    <row r="93" spans="1:12" ht="26.25" customHeight="1" x14ac:dyDescent="0.4">
      <c r="A93" s="107" t="s">
        <v>65</v>
      </c>
      <c r="B93" s="108">
        <v>1</v>
      </c>
      <c r="C93" s="136">
        <v>3</v>
      </c>
      <c r="D93" s="120">
        <v>76126865</v>
      </c>
      <c r="E93" s="121">
        <f>IF(ISBLANK(D93),"-",$D$101/$D$98*D93)</f>
        <v>73993101.274189129</v>
      </c>
      <c r="F93" s="120">
        <v>69699743</v>
      </c>
      <c r="G93" s="122">
        <f>IF(ISBLANK(F93),"-",$D$101/$F$98*F93)</f>
        <v>73844694.957776651</v>
      </c>
      <c r="I93" s="708"/>
    </row>
    <row r="94" spans="1:12" ht="27" customHeight="1" thickBot="1" x14ac:dyDescent="0.45">
      <c r="A94" s="107" t="s">
        <v>66</v>
      </c>
      <c r="B94" s="108">
        <v>1</v>
      </c>
      <c r="C94" s="193">
        <v>4</v>
      </c>
      <c r="D94" s="124"/>
      <c r="E94" s="125" t="str">
        <f>IF(ISBLANK(D94),"-",$D$101/$D$98*D94)</f>
        <v>-</v>
      </c>
      <c r="F94" s="194"/>
      <c r="G94" s="126" t="str">
        <f>IF(ISBLANK(F94),"-",$D$101/$F$98*F94)</f>
        <v>-</v>
      </c>
      <c r="I94" s="127"/>
    </row>
    <row r="95" spans="1:12" ht="27" customHeight="1" thickBot="1" x14ac:dyDescent="0.45">
      <c r="A95" s="107" t="s">
        <v>67</v>
      </c>
      <c r="B95" s="108">
        <v>1</v>
      </c>
      <c r="C95" s="92" t="s">
        <v>68</v>
      </c>
      <c r="D95" s="195">
        <f>AVERAGE(D91:D94)</f>
        <v>76390704</v>
      </c>
      <c r="E95" s="130">
        <f>AVERAGE(E91:E94)</f>
        <v>74249545.117595538</v>
      </c>
      <c r="F95" s="196">
        <f>AVERAGE(F91:F94)</f>
        <v>69553460.666666672</v>
      </c>
      <c r="G95" s="197">
        <f>AVERAGE(G91:G94)</f>
        <v>73689713.406657994</v>
      </c>
    </row>
    <row r="96" spans="1:12" ht="26.25" customHeight="1" x14ac:dyDescent="0.4">
      <c r="A96" s="107" t="s">
        <v>69</v>
      </c>
      <c r="B96" s="93">
        <v>1</v>
      </c>
      <c r="C96" s="198" t="s">
        <v>110</v>
      </c>
      <c r="D96" s="199">
        <v>15.62</v>
      </c>
      <c r="E96" s="82"/>
      <c r="F96" s="133">
        <v>14.33</v>
      </c>
    </row>
    <row r="97" spans="1:10" ht="26.25" customHeight="1" x14ac:dyDescent="0.4">
      <c r="A97" s="107" t="s">
        <v>71</v>
      </c>
      <c r="B97" s="93">
        <v>1</v>
      </c>
      <c r="C97" s="200" t="s">
        <v>111</v>
      </c>
      <c r="D97" s="201">
        <f>D96*$B$87</f>
        <v>15.62</v>
      </c>
      <c r="E97" s="136"/>
      <c r="F97" s="135">
        <f>F96*$B$87</f>
        <v>14.33</v>
      </c>
    </row>
    <row r="98" spans="1:10" ht="19.5" customHeight="1" thickBot="1" x14ac:dyDescent="0.35">
      <c r="A98" s="107" t="s">
        <v>73</v>
      </c>
      <c r="B98" s="136">
        <f>(B97/B96)*(B95/B94)*(B93/B92)*(B91/B90)*B89</f>
        <v>50</v>
      </c>
      <c r="C98" s="200" t="s">
        <v>112</v>
      </c>
      <c r="D98" s="202">
        <f>D97*$B$83/100</f>
        <v>15.432559999999999</v>
      </c>
      <c r="E98" s="138"/>
      <c r="F98" s="137">
        <f>F97*$B$83/100</f>
        <v>14.158039999999998</v>
      </c>
    </row>
    <row r="99" spans="1:10" ht="19.5" customHeight="1" thickBot="1" x14ac:dyDescent="0.35">
      <c r="A99" s="709" t="s">
        <v>75</v>
      </c>
      <c r="B99" s="726"/>
      <c r="C99" s="200" t="s">
        <v>113</v>
      </c>
      <c r="D99" s="203">
        <f>D98/$B$98</f>
        <v>0.30865119999999996</v>
      </c>
      <c r="E99" s="138"/>
      <c r="F99" s="141">
        <f>F98/$B$98</f>
        <v>0.28316079999999993</v>
      </c>
      <c r="H99" s="31"/>
    </row>
    <row r="100" spans="1:10" ht="19.5" customHeight="1" thickBot="1" x14ac:dyDescent="0.35">
      <c r="A100" s="711"/>
      <c r="B100" s="727"/>
      <c r="C100" s="200" t="s">
        <v>77</v>
      </c>
      <c r="D100" s="204">
        <f>$B$56/$B$116</f>
        <v>0.3</v>
      </c>
      <c r="F100" s="146"/>
      <c r="G100" s="205"/>
      <c r="H100" s="31"/>
    </row>
    <row r="101" spans="1:10" ht="18.75" x14ac:dyDescent="0.3">
      <c r="C101" s="200" t="s">
        <v>78</v>
      </c>
      <c r="D101" s="201">
        <f>D100*$B$98</f>
        <v>15</v>
      </c>
      <c r="F101" s="146"/>
      <c r="H101" s="31"/>
    </row>
    <row r="102" spans="1:10" ht="19.5" customHeight="1" thickBot="1" x14ac:dyDescent="0.35">
      <c r="C102" s="206" t="s">
        <v>79</v>
      </c>
      <c r="D102" s="207">
        <f>D101/B34</f>
        <v>15</v>
      </c>
      <c r="F102" s="150"/>
      <c r="H102" s="31"/>
      <c r="J102" s="208"/>
    </row>
    <row r="103" spans="1:10" ht="18.75" x14ac:dyDescent="0.3">
      <c r="C103" s="209" t="s">
        <v>114</v>
      </c>
      <c r="D103" s="210">
        <f>AVERAGE(E91:E94,G91:G94)</f>
        <v>73969629.262126759</v>
      </c>
      <c r="F103" s="150"/>
      <c r="G103" s="205"/>
      <c r="H103" s="31"/>
      <c r="J103" s="211"/>
    </row>
    <row r="104" spans="1:10" ht="18.75" x14ac:dyDescent="0.3">
      <c r="C104" s="183" t="s">
        <v>81</v>
      </c>
      <c r="D104" s="212">
        <f>STDEV(E91:E94,G91:G94)/D103</f>
        <v>5.0386206760084885E-3</v>
      </c>
      <c r="F104" s="150"/>
      <c r="H104" s="31"/>
      <c r="J104" s="211"/>
    </row>
    <row r="105" spans="1:10" ht="19.5" customHeight="1" thickBot="1" x14ac:dyDescent="0.35">
      <c r="C105" s="185" t="s">
        <v>17</v>
      </c>
      <c r="D105" s="213">
        <f>COUNT(E91:E94,G91:G94)</f>
        <v>6</v>
      </c>
      <c r="F105" s="150"/>
      <c r="H105" s="31"/>
      <c r="J105" s="211"/>
    </row>
    <row r="106" spans="1:10" ht="19.5" customHeight="1" thickBot="1" x14ac:dyDescent="0.35">
      <c r="A106" s="154"/>
      <c r="B106" s="154"/>
      <c r="C106" s="154"/>
      <c r="D106" s="154"/>
      <c r="E106" s="154"/>
    </row>
    <row r="107" spans="1:10" ht="26.25" customHeight="1" x14ac:dyDescent="0.4">
      <c r="A107" s="105" t="s">
        <v>115</v>
      </c>
      <c r="B107" s="106">
        <v>1000</v>
      </c>
      <c r="C107" s="188" t="s">
        <v>116</v>
      </c>
      <c r="D107" s="214" t="s">
        <v>60</v>
      </c>
      <c r="E107" s="215" t="s">
        <v>117</v>
      </c>
      <c r="F107" s="216" t="s">
        <v>118</v>
      </c>
    </row>
    <row r="108" spans="1:10" ht="26.25" customHeight="1" x14ac:dyDescent="0.4">
      <c r="A108" s="107" t="s">
        <v>119</v>
      </c>
      <c r="B108" s="108">
        <v>1</v>
      </c>
      <c r="C108" s="217">
        <v>1</v>
      </c>
      <c r="D108" s="218">
        <v>70628870</v>
      </c>
      <c r="E108" s="219">
        <f t="shared" ref="E108:E113" si="1">IF(ISBLANK(D108),"-",D108/$D$103*$D$100*$B$116)</f>
        <v>286.45082057818047</v>
      </c>
      <c r="F108" s="220">
        <f t="shared" ref="F108:F113" si="2">IF(ISBLANK(D108), "-", E108/$B$56)</f>
        <v>0.95483606859393488</v>
      </c>
    </row>
    <row r="109" spans="1:10" ht="26.25" customHeight="1" x14ac:dyDescent="0.4">
      <c r="A109" s="107" t="s">
        <v>92</v>
      </c>
      <c r="B109" s="108">
        <v>1</v>
      </c>
      <c r="C109" s="217">
        <v>2</v>
      </c>
      <c r="D109" s="218">
        <v>66156482</v>
      </c>
      <c r="E109" s="221">
        <f t="shared" si="1"/>
        <v>268.31207345474485</v>
      </c>
      <c r="F109" s="222">
        <f t="shared" si="2"/>
        <v>0.89437357818248286</v>
      </c>
    </row>
    <row r="110" spans="1:10" ht="26.25" customHeight="1" x14ac:dyDescent="0.4">
      <c r="A110" s="107" t="s">
        <v>93</v>
      </c>
      <c r="B110" s="108">
        <v>1</v>
      </c>
      <c r="C110" s="217">
        <v>3</v>
      </c>
      <c r="D110" s="218">
        <v>71343912</v>
      </c>
      <c r="E110" s="221">
        <f t="shared" si="1"/>
        <v>289.35082970543766</v>
      </c>
      <c r="F110" s="222">
        <f t="shared" si="2"/>
        <v>0.96450276568479221</v>
      </c>
    </row>
    <row r="111" spans="1:10" ht="26.25" customHeight="1" x14ac:dyDescent="0.4">
      <c r="A111" s="107" t="s">
        <v>94</v>
      </c>
      <c r="B111" s="108">
        <v>1</v>
      </c>
      <c r="C111" s="217">
        <v>4</v>
      </c>
      <c r="D111" s="218">
        <v>66179187</v>
      </c>
      <c r="E111" s="221">
        <f t="shared" si="1"/>
        <v>268.40415854517926</v>
      </c>
      <c r="F111" s="222">
        <f t="shared" si="2"/>
        <v>0.89468052848393087</v>
      </c>
    </row>
    <row r="112" spans="1:10" ht="26.25" customHeight="1" x14ac:dyDescent="0.4">
      <c r="A112" s="107" t="s">
        <v>95</v>
      </c>
      <c r="B112" s="108">
        <v>1</v>
      </c>
      <c r="C112" s="217">
        <v>5</v>
      </c>
      <c r="D112" s="218">
        <v>71346755</v>
      </c>
      <c r="E112" s="221">
        <f t="shared" si="1"/>
        <v>289.36236011337007</v>
      </c>
      <c r="F112" s="222">
        <f t="shared" si="2"/>
        <v>0.96454120037790025</v>
      </c>
    </row>
    <row r="113" spans="1:10" ht="26.25" customHeight="1" x14ac:dyDescent="0.4">
      <c r="A113" s="107" t="s">
        <v>97</v>
      </c>
      <c r="B113" s="108">
        <v>1</v>
      </c>
      <c r="C113" s="223">
        <v>6</v>
      </c>
      <c r="D113" s="224">
        <v>70472800</v>
      </c>
      <c r="E113" s="225">
        <f t="shared" si="1"/>
        <v>285.81784457888102</v>
      </c>
      <c r="F113" s="226">
        <f t="shared" si="2"/>
        <v>0.95272614859627003</v>
      </c>
    </row>
    <row r="114" spans="1:10" ht="26.25" customHeight="1" x14ac:dyDescent="0.4">
      <c r="A114" s="107" t="s">
        <v>98</v>
      </c>
      <c r="B114" s="108">
        <v>1</v>
      </c>
      <c r="C114" s="217"/>
      <c r="D114" s="136"/>
      <c r="E114" s="82"/>
      <c r="F114" s="227"/>
    </row>
    <row r="115" spans="1:10" ht="26.25" customHeight="1" x14ac:dyDescent="0.4">
      <c r="A115" s="107" t="s">
        <v>99</v>
      </c>
      <c r="B115" s="108">
        <v>1</v>
      </c>
      <c r="C115" s="217"/>
      <c r="D115" s="228" t="s">
        <v>68</v>
      </c>
      <c r="E115" s="229">
        <f>AVERAGE(E108:E113)</f>
        <v>281.28301449596557</v>
      </c>
      <c r="F115" s="230">
        <f>AVERAGE(F108:F113)</f>
        <v>0.93761004831988515</v>
      </c>
    </row>
    <row r="116" spans="1:10" ht="27" customHeight="1" thickBot="1" x14ac:dyDescent="0.45">
      <c r="A116" s="107" t="s">
        <v>100</v>
      </c>
      <c r="B116" s="119">
        <f>(B115/B114)*(B113/B112)*(B111/B110)*(B109/B108)*B107</f>
        <v>1000</v>
      </c>
      <c r="C116" s="231"/>
      <c r="D116" s="92" t="s">
        <v>81</v>
      </c>
      <c r="E116" s="232">
        <f>STDEV(E108:E113)/E115</f>
        <v>3.5966566363657582E-2</v>
      </c>
      <c r="F116" s="232">
        <f>STDEV(F108:F113)/F115</f>
        <v>3.5966566363657568E-2</v>
      </c>
      <c r="I116" s="82"/>
    </row>
    <row r="117" spans="1:10" ht="27" customHeight="1" thickBot="1" x14ac:dyDescent="0.45">
      <c r="A117" s="709" t="s">
        <v>75</v>
      </c>
      <c r="B117" s="710"/>
      <c r="C117" s="233"/>
      <c r="D117" s="234" t="s">
        <v>17</v>
      </c>
      <c r="E117" s="235">
        <f>COUNT(E108:E113)</f>
        <v>6</v>
      </c>
      <c r="F117" s="235">
        <f>COUNT(F108:F113)</f>
        <v>6</v>
      </c>
      <c r="I117" s="82"/>
      <c r="J117" s="211"/>
    </row>
    <row r="118" spans="1:10" ht="19.5" customHeight="1" thickBot="1" x14ac:dyDescent="0.35">
      <c r="A118" s="711"/>
      <c r="B118" s="712"/>
      <c r="C118" s="82"/>
      <c r="D118" s="82"/>
      <c r="E118" s="82"/>
      <c r="F118" s="136"/>
      <c r="G118" s="82"/>
      <c r="H118" s="82"/>
      <c r="I118" s="82"/>
    </row>
    <row r="119" spans="1:10" ht="18.75" x14ac:dyDescent="0.3">
      <c r="A119" s="236"/>
      <c r="B119" s="103"/>
      <c r="C119" s="82"/>
      <c r="D119" s="82"/>
      <c r="E119" s="82"/>
      <c r="F119" s="136"/>
      <c r="G119" s="82"/>
      <c r="H119" s="82"/>
      <c r="I119" s="82"/>
    </row>
    <row r="120" spans="1:10" ht="26.25" customHeight="1" x14ac:dyDescent="0.4">
      <c r="A120" s="91" t="s">
        <v>103</v>
      </c>
      <c r="B120" s="92" t="s">
        <v>120</v>
      </c>
      <c r="C120" s="725" t="str">
        <f>B20</f>
        <v xml:space="preserve">Tenofovir Disoproxil Fumarate 300mg, Lamivudine 300mg &amp; Efavirenz 600mg </v>
      </c>
      <c r="D120" s="725"/>
      <c r="E120" s="82" t="s">
        <v>121</v>
      </c>
      <c r="F120" s="82"/>
      <c r="G120" s="187">
        <f>F115</f>
        <v>0.93761004831988515</v>
      </c>
      <c r="H120" s="82"/>
      <c r="I120" s="82"/>
    </row>
    <row r="121" spans="1:10" ht="19.5" customHeight="1" thickBot="1" x14ac:dyDescent="0.35">
      <c r="A121" s="237"/>
      <c r="B121" s="237"/>
      <c r="C121" s="238"/>
      <c r="D121" s="238"/>
      <c r="E121" s="238"/>
      <c r="F121" s="238"/>
      <c r="G121" s="238"/>
      <c r="H121" s="238"/>
    </row>
    <row r="122" spans="1:10" ht="18.75" x14ac:dyDescent="0.3">
      <c r="B122" s="728" t="s">
        <v>23</v>
      </c>
      <c r="C122" s="728"/>
      <c r="E122" s="190" t="s">
        <v>24</v>
      </c>
      <c r="F122" s="239"/>
      <c r="G122" s="728" t="s">
        <v>25</v>
      </c>
      <c r="H122" s="728"/>
    </row>
    <row r="123" spans="1:10" ht="69.95" customHeight="1" x14ac:dyDescent="0.3">
      <c r="A123" s="91" t="s">
        <v>26</v>
      </c>
      <c r="B123" s="240"/>
      <c r="C123" s="240"/>
      <c r="E123" s="240"/>
      <c r="F123" s="82"/>
      <c r="G123" s="240"/>
      <c r="H123" s="240"/>
    </row>
    <row r="124" spans="1:10" ht="69.95" customHeight="1" x14ac:dyDescent="0.3">
      <c r="A124" s="91" t="s">
        <v>27</v>
      </c>
      <c r="B124" s="241"/>
      <c r="C124" s="241"/>
      <c r="E124" s="241"/>
      <c r="F124" s="82"/>
      <c r="G124" s="242"/>
      <c r="H124" s="242"/>
    </row>
    <row r="125" spans="1:10" ht="18.75" x14ac:dyDescent="0.3">
      <c r="A125" s="136"/>
      <c r="B125" s="136"/>
      <c r="C125" s="136"/>
      <c r="D125" s="136"/>
      <c r="E125" s="136"/>
      <c r="F125" s="138"/>
      <c r="G125" s="136"/>
      <c r="H125" s="136"/>
      <c r="I125" s="82"/>
    </row>
    <row r="126" spans="1:10" ht="18.75" x14ac:dyDescent="0.3">
      <c r="A126" s="136"/>
      <c r="B126" s="136"/>
      <c r="C126" s="136"/>
      <c r="D126" s="136"/>
      <c r="E126" s="136"/>
      <c r="F126" s="138"/>
      <c r="G126" s="136"/>
      <c r="H126" s="136"/>
      <c r="I126" s="82"/>
    </row>
    <row r="127" spans="1:10" ht="18.75" x14ac:dyDescent="0.3">
      <c r="A127" s="136"/>
      <c r="B127" s="136"/>
      <c r="C127" s="136"/>
      <c r="D127" s="136"/>
      <c r="E127" s="136"/>
      <c r="F127" s="138"/>
      <c r="G127" s="136"/>
      <c r="H127" s="136"/>
      <c r="I127" s="82"/>
    </row>
    <row r="128" spans="1:10" ht="18.75" x14ac:dyDescent="0.3">
      <c r="A128" s="136"/>
      <c r="B128" s="136"/>
      <c r="C128" s="136"/>
      <c r="D128" s="136"/>
      <c r="E128" s="136"/>
      <c r="F128" s="138"/>
      <c r="G128" s="136"/>
      <c r="H128" s="136"/>
      <c r="I128" s="82"/>
    </row>
    <row r="129" spans="1:9" ht="18.75" x14ac:dyDescent="0.3">
      <c r="A129" s="136"/>
      <c r="B129" s="136"/>
      <c r="C129" s="136"/>
      <c r="D129" s="136"/>
      <c r="E129" s="136"/>
      <c r="F129" s="138"/>
      <c r="G129" s="136"/>
      <c r="H129" s="136"/>
      <c r="I129" s="82"/>
    </row>
    <row r="130" spans="1:9" ht="18.75" x14ac:dyDescent="0.3">
      <c r="A130" s="136"/>
      <c r="B130" s="136"/>
      <c r="C130" s="136"/>
      <c r="D130" s="136"/>
      <c r="E130" s="136"/>
      <c r="F130" s="138"/>
      <c r="G130" s="136"/>
      <c r="H130" s="136"/>
      <c r="I130" s="82"/>
    </row>
    <row r="131" spans="1:9" ht="18.75" x14ac:dyDescent="0.3">
      <c r="A131" s="136"/>
      <c r="B131" s="136"/>
      <c r="C131" s="136"/>
      <c r="D131" s="136"/>
      <c r="E131" s="136"/>
      <c r="F131" s="138"/>
      <c r="G131" s="136"/>
      <c r="H131" s="136"/>
      <c r="I131" s="82"/>
    </row>
    <row r="132" spans="1:9" ht="18.75" x14ac:dyDescent="0.3">
      <c r="A132" s="136"/>
      <c r="B132" s="136"/>
      <c r="C132" s="136"/>
      <c r="D132" s="136"/>
      <c r="E132" s="136"/>
      <c r="F132" s="138"/>
      <c r="G132" s="136"/>
      <c r="H132" s="136"/>
      <c r="I132" s="82"/>
    </row>
    <row r="133" spans="1:9" ht="18.75" x14ac:dyDescent="0.3">
      <c r="A133" s="136"/>
      <c r="B133" s="136"/>
      <c r="C133" s="136"/>
      <c r="D133" s="136"/>
      <c r="E133" s="136"/>
      <c r="F133" s="138"/>
      <c r="G133" s="136"/>
      <c r="H133" s="136"/>
      <c r="I133" s="82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zoomScale="60" workbookViewId="0">
      <selection activeCell="B31" sqref="B31"/>
    </sheetView>
  </sheetViews>
  <sheetFormatPr defaultRowHeight="13.5" x14ac:dyDescent="0.25"/>
  <cols>
    <col min="1" max="1" width="27.5703125" style="39" customWidth="1"/>
    <col min="2" max="2" width="20.42578125" style="39" customWidth="1"/>
    <col min="3" max="3" width="31.85546875" style="39" customWidth="1"/>
    <col min="4" max="4" width="25.85546875" style="39" customWidth="1"/>
    <col min="5" max="5" width="25.7109375" style="39" customWidth="1"/>
    <col min="6" max="6" width="23.140625" style="39" customWidth="1"/>
    <col min="7" max="7" width="28.42578125" style="39" customWidth="1"/>
    <col min="8" max="8" width="21.5703125" style="39" customWidth="1"/>
    <col min="9" max="9" width="9.140625" style="39" customWidth="1"/>
    <col min="10" max="16384" width="9.140625" style="75"/>
  </cols>
  <sheetData>
    <row r="3" spans="1:5" ht="18.75" customHeight="1" x14ac:dyDescent="0.3">
      <c r="A3" s="729" t="s">
        <v>0</v>
      </c>
      <c r="B3" s="729"/>
      <c r="C3" s="729"/>
      <c r="D3" s="729"/>
      <c r="E3" s="729"/>
    </row>
    <row r="4" spans="1:5" ht="16.5" customHeight="1" x14ac:dyDescent="0.3">
      <c r="A4" s="40" t="s">
        <v>1</v>
      </c>
      <c r="B4" s="41" t="s">
        <v>2</v>
      </c>
    </row>
    <row r="5" spans="1:5" ht="16.5" customHeight="1" x14ac:dyDescent="0.3">
      <c r="A5" s="42" t="s">
        <v>3</v>
      </c>
      <c r="B5" s="42" t="s">
        <v>122</v>
      </c>
      <c r="D5" s="43"/>
      <c r="E5" s="44"/>
    </row>
    <row r="6" spans="1:5" ht="16.5" customHeight="1" x14ac:dyDescent="0.3">
      <c r="A6" s="45" t="s">
        <v>4</v>
      </c>
      <c r="B6" s="46" t="s">
        <v>126</v>
      </c>
      <c r="C6" s="44"/>
      <c r="D6" s="44"/>
      <c r="E6" s="44"/>
    </row>
    <row r="7" spans="1:5" ht="16.5" customHeight="1" x14ac:dyDescent="0.3">
      <c r="A7" s="45" t="s">
        <v>6</v>
      </c>
      <c r="B7" s="43">
        <v>100</v>
      </c>
      <c r="C7" s="44"/>
      <c r="D7" s="44"/>
      <c r="E7" s="44"/>
    </row>
    <row r="8" spans="1:5" ht="16.5" customHeight="1" x14ac:dyDescent="0.3">
      <c r="A8" s="42" t="s">
        <v>7</v>
      </c>
      <c r="B8" s="46">
        <f>Lamivudine!D43</f>
        <v>14.53</v>
      </c>
      <c r="C8" s="44"/>
      <c r="D8" s="44"/>
      <c r="E8" s="44"/>
    </row>
    <row r="9" spans="1:5" ht="16.5" customHeight="1" x14ac:dyDescent="0.3">
      <c r="A9" s="42" t="s">
        <v>8</v>
      </c>
      <c r="B9" s="47">
        <f>B8/50*10/25</f>
        <v>0.11623999999999998</v>
      </c>
      <c r="C9" s="44"/>
      <c r="D9" s="44"/>
      <c r="E9" s="44"/>
    </row>
    <row r="10" spans="1:5" ht="15.75" customHeight="1" x14ac:dyDescent="0.25">
      <c r="A10" s="44"/>
      <c r="B10" s="48"/>
      <c r="C10" s="44"/>
      <c r="D10" s="44"/>
      <c r="E10" s="44"/>
    </row>
    <row r="11" spans="1:5" ht="16.5" customHeight="1" x14ac:dyDescent="0.3">
      <c r="A11" s="49" t="s">
        <v>10</v>
      </c>
      <c r="B11" s="50" t="s">
        <v>11</v>
      </c>
      <c r="C11" s="49" t="s">
        <v>12</v>
      </c>
      <c r="D11" s="49" t="s">
        <v>13</v>
      </c>
      <c r="E11" s="49" t="s">
        <v>14</v>
      </c>
    </row>
    <row r="12" spans="1:5" ht="16.5" customHeight="1" x14ac:dyDescent="0.3">
      <c r="A12" s="51">
        <v>1</v>
      </c>
      <c r="B12" s="52">
        <v>44551264</v>
      </c>
      <c r="C12" s="52">
        <v>7173.6</v>
      </c>
      <c r="D12" s="53">
        <v>1.1000000000000001</v>
      </c>
      <c r="E12" s="54">
        <v>4.3</v>
      </c>
    </row>
    <row r="13" spans="1:5" ht="16.5" customHeight="1" x14ac:dyDescent="0.3">
      <c r="A13" s="51">
        <v>2</v>
      </c>
      <c r="B13" s="52">
        <v>44698997</v>
      </c>
      <c r="C13" s="52">
        <v>7178.1</v>
      </c>
      <c r="D13" s="53">
        <v>1.1000000000000001</v>
      </c>
      <c r="E13" s="53">
        <v>4.3</v>
      </c>
    </row>
    <row r="14" spans="1:5" ht="16.5" customHeight="1" x14ac:dyDescent="0.3">
      <c r="A14" s="51">
        <v>3</v>
      </c>
      <c r="B14" s="52">
        <v>44635849</v>
      </c>
      <c r="C14" s="52">
        <v>7269.1</v>
      </c>
      <c r="D14" s="53">
        <v>1.1000000000000001</v>
      </c>
      <c r="E14" s="53">
        <v>4.3</v>
      </c>
    </row>
    <row r="15" spans="1:5" ht="16.5" customHeight="1" x14ac:dyDescent="0.3">
      <c r="A15" s="51">
        <v>4</v>
      </c>
      <c r="B15" s="52">
        <v>44509519</v>
      </c>
      <c r="C15" s="52">
        <v>7279.2</v>
      </c>
      <c r="D15" s="53">
        <v>1.1000000000000001</v>
      </c>
      <c r="E15" s="53">
        <v>4.3</v>
      </c>
    </row>
    <row r="16" spans="1:5" ht="16.5" customHeight="1" x14ac:dyDescent="0.3">
      <c r="A16" s="51">
        <v>5</v>
      </c>
      <c r="B16" s="52">
        <v>44563632</v>
      </c>
      <c r="C16" s="52">
        <v>7379.4</v>
      </c>
      <c r="D16" s="53">
        <v>1.1000000000000001</v>
      </c>
      <c r="E16" s="53">
        <v>4.3</v>
      </c>
    </row>
    <row r="17" spans="1:5" ht="16.5" customHeight="1" x14ac:dyDescent="0.3">
      <c r="A17" s="51">
        <v>6</v>
      </c>
      <c r="B17" s="55">
        <v>44561537</v>
      </c>
      <c r="C17" s="55">
        <v>7346</v>
      </c>
      <c r="D17" s="56">
        <v>1.1000000000000001</v>
      </c>
      <c r="E17" s="56">
        <v>4.3</v>
      </c>
    </row>
    <row r="18" spans="1:5" ht="16.5" customHeight="1" x14ac:dyDescent="0.3">
      <c r="A18" s="57" t="s">
        <v>15</v>
      </c>
      <c r="B18" s="58">
        <f>AVERAGE(B12:B17)</f>
        <v>44586799.666666664</v>
      </c>
      <c r="C18" s="59">
        <f>AVERAGE(C12:C17)</f>
        <v>7270.9000000000005</v>
      </c>
      <c r="D18" s="60">
        <f>AVERAGE(D12:D17)</f>
        <v>1.0999999999999999</v>
      </c>
      <c r="E18" s="60">
        <f>AVERAGE(E12:E17)</f>
        <v>4.3</v>
      </c>
    </row>
    <row r="19" spans="1:5" ht="16.5" customHeight="1" x14ac:dyDescent="0.3">
      <c r="A19" s="61" t="s">
        <v>16</v>
      </c>
      <c r="B19" s="62">
        <f>(STDEV(B12:B17)/B18)</f>
        <v>1.5344570368489047E-3</v>
      </c>
      <c r="C19" s="63"/>
      <c r="D19" s="63"/>
      <c r="E19" s="64"/>
    </row>
    <row r="20" spans="1:5" s="39" customFormat="1" ht="16.5" customHeight="1" x14ac:dyDescent="0.3">
      <c r="A20" s="65" t="s">
        <v>17</v>
      </c>
      <c r="B20" s="66">
        <f>COUNT(B12:B17)</f>
        <v>6</v>
      </c>
      <c r="C20" s="67"/>
      <c r="D20" s="68"/>
      <c r="E20" s="69"/>
    </row>
    <row r="21" spans="1:5" s="39" customFormat="1" ht="15.75" customHeight="1" x14ac:dyDescent="0.25">
      <c r="A21" s="44"/>
      <c r="B21" s="44"/>
      <c r="C21" s="44"/>
      <c r="D21" s="44"/>
      <c r="E21" s="44"/>
    </row>
    <row r="22" spans="1:5" s="39" customFormat="1" ht="16.5" customHeight="1" x14ac:dyDescent="0.3">
      <c r="A22" s="45" t="s">
        <v>18</v>
      </c>
      <c r="B22" s="70" t="s">
        <v>19</v>
      </c>
      <c r="C22" s="71"/>
      <c r="D22" s="71"/>
      <c r="E22" s="71"/>
    </row>
    <row r="23" spans="1:5" ht="16.5" customHeight="1" x14ac:dyDescent="0.3">
      <c r="A23" s="45"/>
      <c r="B23" s="70" t="s">
        <v>20</v>
      </c>
      <c r="C23" s="71"/>
      <c r="D23" s="71"/>
      <c r="E23" s="71"/>
    </row>
    <row r="24" spans="1:5" ht="16.5" customHeight="1" x14ac:dyDescent="0.3">
      <c r="A24" s="45"/>
      <c r="B24" s="70" t="s">
        <v>21</v>
      </c>
      <c r="C24" s="71"/>
      <c r="D24" s="71"/>
      <c r="E24" s="71"/>
    </row>
    <row r="25" spans="1:5" ht="15.75" customHeight="1" x14ac:dyDescent="0.25">
      <c r="A25" s="44"/>
      <c r="B25" s="44"/>
      <c r="C25" s="44"/>
      <c r="D25" s="44"/>
      <c r="E25" s="44"/>
    </row>
    <row r="26" spans="1:5" ht="16.5" customHeight="1" x14ac:dyDescent="0.3">
      <c r="A26" s="40" t="s">
        <v>1</v>
      </c>
      <c r="B26" s="41" t="s">
        <v>22</v>
      </c>
    </row>
    <row r="27" spans="1:5" ht="16.5" customHeight="1" x14ac:dyDescent="0.3">
      <c r="A27" s="45" t="s">
        <v>4</v>
      </c>
      <c r="B27" s="42" t="s">
        <v>126</v>
      </c>
      <c r="C27" s="44"/>
      <c r="D27" s="44"/>
      <c r="E27" s="44"/>
    </row>
    <row r="28" spans="1:5" ht="16.5" customHeight="1" x14ac:dyDescent="0.3">
      <c r="A28" s="45" t="s">
        <v>6</v>
      </c>
      <c r="B28" s="46">
        <v>100</v>
      </c>
      <c r="C28" s="44"/>
      <c r="D28" s="44"/>
      <c r="E28" s="44"/>
    </row>
    <row r="29" spans="1:5" ht="16.5" customHeight="1" x14ac:dyDescent="0.3">
      <c r="A29" s="42" t="s">
        <v>7</v>
      </c>
      <c r="B29" s="46">
        <f>Lamivudine!D96</f>
        <v>14.47</v>
      </c>
      <c r="C29" s="44"/>
      <c r="D29" s="44"/>
      <c r="E29" s="44"/>
    </row>
    <row r="30" spans="1:5" ht="16.5" customHeight="1" x14ac:dyDescent="0.3">
      <c r="A30" s="42" t="s">
        <v>8</v>
      </c>
      <c r="B30" s="47">
        <f>B29/50</f>
        <v>0.28939999999999999</v>
      </c>
      <c r="C30" s="44"/>
      <c r="D30" s="44"/>
      <c r="E30" s="44"/>
    </row>
    <row r="31" spans="1:5" ht="15.75" customHeight="1" x14ac:dyDescent="0.25">
      <c r="A31" s="44"/>
      <c r="B31" s="44"/>
      <c r="C31" s="44"/>
      <c r="D31" s="44"/>
      <c r="E31" s="44"/>
    </row>
    <row r="32" spans="1:5" ht="16.5" customHeight="1" x14ac:dyDescent="0.3">
      <c r="A32" s="49" t="s">
        <v>10</v>
      </c>
      <c r="B32" s="50" t="s">
        <v>11</v>
      </c>
      <c r="C32" s="49" t="s">
        <v>12</v>
      </c>
      <c r="D32" s="49" t="s">
        <v>13</v>
      </c>
      <c r="E32" s="49" t="s">
        <v>14</v>
      </c>
    </row>
    <row r="33" spans="1:7" ht="16.5" customHeight="1" x14ac:dyDescent="0.3">
      <c r="A33" s="51">
        <v>1</v>
      </c>
      <c r="B33" s="670">
        <v>102828813</v>
      </c>
      <c r="C33" s="670">
        <v>54385.5</v>
      </c>
      <c r="D33" s="671">
        <v>1.1399999999999999</v>
      </c>
      <c r="E33" s="672">
        <v>8.67</v>
      </c>
    </row>
    <row r="34" spans="1:7" ht="16.5" customHeight="1" x14ac:dyDescent="0.3">
      <c r="A34" s="51">
        <v>2</v>
      </c>
      <c r="B34" s="670">
        <v>103025767</v>
      </c>
      <c r="C34" s="670">
        <v>54187.4</v>
      </c>
      <c r="D34" s="671">
        <v>1.1399999999999999</v>
      </c>
      <c r="E34" s="671">
        <v>8.68</v>
      </c>
    </row>
    <row r="35" spans="1:7" ht="16.5" customHeight="1" x14ac:dyDescent="0.3">
      <c r="A35" s="51">
        <v>3</v>
      </c>
      <c r="B35" s="670">
        <v>103205212</v>
      </c>
      <c r="C35" s="670">
        <v>54048.800000000003</v>
      </c>
      <c r="D35" s="671">
        <v>1.1499999999999999</v>
      </c>
      <c r="E35" s="671">
        <v>8.69</v>
      </c>
    </row>
    <row r="36" spans="1:7" ht="16.5" customHeight="1" x14ac:dyDescent="0.3">
      <c r="A36" s="51">
        <v>4</v>
      </c>
      <c r="B36" s="670">
        <v>103330759</v>
      </c>
      <c r="C36" s="670">
        <v>54758.8</v>
      </c>
      <c r="D36" s="671">
        <v>1.1399999999999999</v>
      </c>
      <c r="E36" s="671">
        <v>8.6999999999999993</v>
      </c>
    </row>
    <row r="37" spans="1:7" ht="16.5" customHeight="1" x14ac:dyDescent="0.3">
      <c r="A37" s="51">
        <v>5</v>
      </c>
      <c r="B37" s="670">
        <v>103368456</v>
      </c>
      <c r="C37" s="670">
        <v>55923.5</v>
      </c>
      <c r="D37" s="671">
        <v>1.1499999999999999</v>
      </c>
      <c r="E37" s="671">
        <v>8.7100000000000009</v>
      </c>
    </row>
    <row r="38" spans="1:7" ht="16.5" customHeight="1" x14ac:dyDescent="0.3">
      <c r="A38" s="51">
        <v>6</v>
      </c>
      <c r="B38" s="673">
        <v>103274432</v>
      </c>
      <c r="C38" s="673">
        <v>57869.7</v>
      </c>
      <c r="D38" s="674">
        <v>1.2</v>
      </c>
      <c r="E38" s="674">
        <v>8.7100000000000009</v>
      </c>
    </row>
    <row r="39" spans="1:7" ht="16.5" customHeight="1" x14ac:dyDescent="0.3">
      <c r="A39" s="57" t="s">
        <v>15</v>
      </c>
      <c r="B39" s="58">
        <f>AVERAGE(B33:B38)</f>
        <v>103172239.83333333</v>
      </c>
      <c r="C39" s="59">
        <f>AVERAGE(C33:C38)</f>
        <v>55195.616666666669</v>
      </c>
      <c r="D39" s="60">
        <f>AVERAGE(D33:D38)</f>
        <v>1.1533333333333331</v>
      </c>
      <c r="E39" s="60">
        <f>AVERAGE(E33:E38)</f>
        <v>8.6933333333333334</v>
      </c>
    </row>
    <row r="40" spans="1:7" ht="16.5" customHeight="1" x14ac:dyDescent="0.3">
      <c r="A40" s="61" t="s">
        <v>16</v>
      </c>
      <c r="B40" s="62">
        <f>(STDEV(B33:B38)/B39)</f>
        <v>2.0078083777039699E-3</v>
      </c>
      <c r="C40" s="63"/>
      <c r="D40" s="63"/>
      <c r="E40" s="64"/>
    </row>
    <row r="41" spans="1:7" s="39" customFormat="1" ht="16.5" customHeight="1" x14ac:dyDescent="0.3">
      <c r="A41" s="65" t="s">
        <v>17</v>
      </c>
      <c r="B41" s="66">
        <f>COUNT(B33:B38)</f>
        <v>6</v>
      </c>
      <c r="C41" s="67"/>
      <c r="D41" s="68"/>
      <c r="E41" s="69"/>
    </row>
    <row r="42" spans="1:7" s="39" customFormat="1" ht="15.75" customHeight="1" x14ac:dyDescent="0.25">
      <c r="A42" s="44"/>
      <c r="B42" s="44"/>
      <c r="C42" s="44"/>
      <c r="D42" s="44"/>
      <c r="E42" s="44"/>
    </row>
    <row r="43" spans="1:7" s="39" customFormat="1" ht="16.5" customHeight="1" x14ac:dyDescent="0.3">
      <c r="A43" s="45" t="s">
        <v>18</v>
      </c>
      <c r="B43" s="70" t="s">
        <v>19</v>
      </c>
      <c r="C43" s="71"/>
      <c r="D43" s="71"/>
      <c r="E43" s="71"/>
    </row>
    <row r="44" spans="1:7" ht="16.5" customHeight="1" x14ac:dyDescent="0.3">
      <c r="A44" s="45"/>
      <c r="B44" s="70" t="s">
        <v>20</v>
      </c>
      <c r="C44" s="71"/>
      <c r="D44" s="71"/>
      <c r="E44" s="71"/>
    </row>
    <row r="45" spans="1:7" ht="16.5" customHeight="1" x14ac:dyDescent="0.3">
      <c r="A45" s="45"/>
      <c r="B45" s="70" t="s">
        <v>21</v>
      </c>
      <c r="C45" s="71"/>
      <c r="D45" s="71"/>
      <c r="E45" s="71"/>
    </row>
    <row r="46" spans="1:7" ht="14.25" customHeight="1" thickBot="1" x14ac:dyDescent="0.3">
      <c r="A46" s="72"/>
      <c r="B46" s="73"/>
      <c r="D46" s="74"/>
      <c r="F46" s="75"/>
      <c r="G46" s="75"/>
    </row>
    <row r="47" spans="1:7" ht="15" customHeight="1" x14ac:dyDescent="0.3">
      <c r="B47" s="730" t="s">
        <v>23</v>
      </c>
      <c r="C47" s="730"/>
      <c r="E47" s="76" t="s">
        <v>24</v>
      </c>
      <c r="F47" s="77"/>
      <c r="G47" s="76" t="s">
        <v>25</v>
      </c>
    </row>
    <row r="48" spans="1:7" ht="15" customHeight="1" x14ac:dyDescent="0.3">
      <c r="A48" s="78" t="s">
        <v>26</v>
      </c>
      <c r="B48" s="79"/>
      <c r="C48" s="79"/>
      <c r="E48" s="79"/>
      <c r="G48" s="79"/>
    </row>
    <row r="49" spans="1:7" ht="15" customHeight="1" x14ac:dyDescent="0.3">
      <c r="A49" s="78" t="s">
        <v>27</v>
      </c>
      <c r="B49" s="80"/>
      <c r="C49" s="80"/>
      <c r="E49" s="80"/>
      <c r="G49" s="81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69" zoomScale="85" zoomScaleNormal="60" zoomScaleSheetLayoutView="85" zoomScalePageLayoutView="41" workbookViewId="0">
      <selection activeCell="D113" sqref="D113"/>
    </sheetView>
  </sheetViews>
  <sheetFormatPr defaultColWidth="9.140625" defaultRowHeight="13.5" x14ac:dyDescent="0.25"/>
  <cols>
    <col min="1" max="1" width="55.42578125" style="243" customWidth="1"/>
    <col min="2" max="2" width="33.7109375" style="243" customWidth="1"/>
    <col min="3" max="3" width="42.28515625" style="243" customWidth="1"/>
    <col min="4" max="4" width="30.5703125" style="243" customWidth="1"/>
    <col min="5" max="5" width="39.85546875" style="243" customWidth="1"/>
    <col min="6" max="6" width="30.7109375" style="243" customWidth="1"/>
    <col min="7" max="7" width="39.85546875" style="243" customWidth="1"/>
    <col min="8" max="8" width="30" style="243" customWidth="1"/>
    <col min="9" max="9" width="30.28515625" style="243" hidden="1" customWidth="1"/>
    <col min="10" max="10" width="30.42578125" style="243" customWidth="1"/>
    <col min="11" max="11" width="21.28515625" style="243" customWidth="1"/>
    <col min="12" max="12" width="9.140625" style="243"/>
    <col min="13" max="16384" width="9.140625" style="245"/>
  </cols>
  <sheetData>
    <row r="1" spans="1:9" ht="18.75" customHeight="1" x14ac:dyDescent="0.25">
      <c r="A1" s="734" t="s">
        <v>42</v>
      </c>
      <c r="B1" s="734"/>
      <c r="C1" s="734"/>
      <c r="D1" s="734"/>
      <c r="E1" s="734"/>
      <c r="F1" s="734"/>
      <c r="G1" s="734"/>
      <c r="H1" s="734"/>
      <c r="I1" s="734"/>
    </row>
    <row r="2" spans="1:9" ht="18.75" customHeight="1" x14ac:dyDescent="0.25">
      <c r="A2" s="734"/>
      <c r="B2" s="734"/>
      <c r="C2" s="734"/>
      <c r="D2" s="734"/>
      <c r="E2" s="734"/>
      <c r="F2" s="734"/>
      <c r="G2" s="734"/>
      <c r="H2" s="734"/>
      <c r="I2" s="734"/>
    </row>
    <row r="3" spans="1:9" ht="18.75" customHeight="1" x14ac:dyDescent="0.25">
      <c r="A3" s="734"/>
      <c r="B3" s="734"/>
      <c r="C3" s="734"/>
      <c r="D3" s="734"/>
      <c r="E3" s="734"/>
      <c r="F3" s="734"/>
      <c r="G3" s="734"/>
      <c r="H3" s="734"/>
      <c r="I3" s="734"/>
    </row>
    <row r="4" spans="1:9" ht="18.75" customHeight="1" x14ac:dyDescent="0.25">
      <c r="A4" s="734"/>
      <c r="B4" s="734"/>
      <c r="C4" s="734"/>
      <c r="D4" s="734"/>
      <c r="E4" s="734"/>
      <c r="F4" s="734"/>
      <c r="G4" s="734"/>
      <c r="H4" s="734"/>
      <c r="I4" s="734"/>
    </row>
    <row r="5" spans="1:9" ht="18.75" customHeight="1" x14ac:dyDescent="0.25">
      <c r="A5" s="734"/>
      <c r="B5" s="734"/>
      <c r="C5" s="734"/>
      <c r="D5" s="734"/>
      <c r="E5" s="734"/>
      <c r="F5" s="734"/>
      <c r="G5" s="734"/>
      <c r="H5" s="734"/>
      <c r="I5" s="734"/>
    </row>
    <row r="6" spans="1:9" ht="18.75" customHeight="1" x14ac:dyDescent="0.25">
      <c r="A6" s="734"/>
      <c r="B6" s="734"/>
      <c r="C6" s="734"/>
      <c r="D6" s="734"/>
      <c r="E6" s="734"/>
      <c r="F6" s="734"/>
      <c r="G6" s="734"/>
      <c r="H6" s="734"/>
      <c r="I6" s="734"/>
    </row>
    <row r="7" spans="1:9" ht="18.75" customHeight="1" x14ac:dyDescent="0.25">
      <c r="A7" s="734"/>
      <c r="B7" s="734"/>
      <c r="C7" s="734"/>
      <c r="D7" s="734"/>
      <c r="E7" s="734"/>
      <c r="F7" s="734"/>
      <c r="G7" s="734"/>
      <c r="H7" s="734"/>
      <c r="I7" s="734"/>
    </row>
    <row r="8" spans="1:9" x14ac:dyDescent="0.25">
      <c r="A8" s="735" t="s">
        <v>43</v>
      </c>
      <c r="B8" s="735"/>
      <c r="C8" s="735"/>
      <c r="D8" s="735"/>
      <c r="E8" s="735"/>
      <c r="F8" s="735"/>
      <c r="G8" s="735"/>
      <c r="H8" s="735"/>
      <c r="I8" s="735"/>
    </row>
    <row r="9" spans="1:9" x14ac:dyDescent="0.25">
      <c r="A9" s="735"/>
      <c r="B9" s="735"/>
      <c r="C9" s="735"/>
      <c r="D9" s="735"/>
      <c r="E9" s="735"/>
      <c r="F9" s="735"/>
      <c r="G9" s="735"/>
      <c r="H9" s="735"/>
      <c r="I9" s="735"/>
    </row>
    <row r="10" spans="1:9" x14ac:dyDescent="0.25">
      <c r="A10" s="735"/>
      <c r="B10" s="735"/>
      <c r="C10" s="735"/>
      <c r="D10" s="735"/>
      <c r="E10" s="735"/>
      <c r="F10" s="735"/>
      <c r="G10" s="735"/>
      <c r="H10" s="735"/>
      <c r="I10" s="735"/>
    </row>
    <row r="11" spans="1:9" x14ac:dyDescent="0.25">
      <c r="A11" s="735"/>
      <c r="B11" s="735"/>
      <c r="C11" s="735"/>
      <c r="D11" s="735"/>
      <c r="E11" s="735"/>
      <c r="F11" s="735"/>
      <c r="G11" s="735"/>
      <c r="H11" s="735"/>
      <c r="I11" s="735"/>
    </row>
    <row r="12" spans="1:9" x14ac:dyDescent="0.25">
      <c r="A12" s="735"/>
      <c r="B12" s="735"/>
      <c r="C12" s="735"/>
      <c r="D12" s="735"/>
      <c r="E12" s="735"/>
      <c r="F12" s="735"/>
      <c r="G12" s="735"/>
      <c r="H12" s="735"/>
      <c r="I12" s="735"/>
    </row>
    <row r="13" spans="1:9" x14ac:dyDescent="0.25">
      <c r="A13" s="735"/>
      <c r="B13" s="735"/>
      <c r="C13" s="735"/>
      <c r="D13" s="735"/>
      <c r="E13" s="735"/>
      <c r="F13" s="735"/>
      <c r="G13" s="735"/>
      <c r="H13" s="735"/>
      <c r="I13" s="735"/>
    </row>
    <row r="14" spans="1:9" x14ac:dyDescent="0.25">
      <c r="A14" s="735"/>
      <c r="B14" s="735"/>
      <c r="C14" s="735"/>
      <c r="D14" s="735"/>
      <c r="E14" s="735"/>
      <c r="F14" s="735"/>
      <c r="G14" s="735"/>
      <c r="H14" s="735"/>
      <c r="I14" s="735"/>
    </row>
    <row r="15" spans="1:9" ht="19.5" customHeight="1" thickBot="1" x14ac:dyDescent="0.35">
      <c r="A15" s="244"/>
    </row>
    <row r="16" spans="1:9" ht="19.5" customHeight="1" thickBot="1" x14ac:dyDescent="0.35">
      <c r="A16" s="736" t="s">
        <v>28</v>
      </c>
      <c r="B16" s="737"/>
      <c r="C16" s="737"/>
      <c r="D16" s="737"/>
      <c r="E16" s="737"/>
      <c r="F16" s="737"/>
      <c r="G16" s="737"/>
      <c r="H16" s="738"/>
    </row>
    <row r="17" spans="1:14" ht="20.25" customHeight="1" x14ac:dyDescent="0.25">
      <c r="A17" s="739" t="s">
        <v>44</v>
      </c>
      <c r="B17" s="739"/>
      <c r="C17" s="739"/>
      <c r="D17" s="739"/>
      <c r="E17" s="739"/>
      <c r="F17" s="739"/>
      <c r="G17" s="739"/>
      <c r="H17" s="739"/>
    </row>
    <row r="18" spans="1:14" ht="26.25" customHeight="1" x14ac:dyDescent="0.4">
      <c r="A18" s="246" t="s">
        <v>30</v>
      </c>
      <c r="B18" s="740" t="s">
        <v>122</v>
      </c>
      <c r="C18" s="740"/>
      <c r="D18" s="247"/>
      <c r="E18" s="248"/>
      <c r="F18" s="249"/>
      <c r="G18" s="249"/>
      <c r="H18" s="249"/>
    </row>
    <row r="19" spans="1:14" ht="26.25" customHeight="1" x14ac:dyDescent="0.4">
      <c r="A19" s="246" t="s">
        <v>31</v>
      </c>
      <c r="B19" s="250" t="str">
        <f>'Tenofovir Disoproxil Fumarate'!B19</f>
        <v>NDQB201607043</v>
      </c>
      <c r="C19" s="249">
        <v>29</v>
      </c>
      <c r="D19" s="249"/>
      <c r="E19" s="249"/>
      <c r="F19" s="249"/>
      <c r="G19" s="249"/>
      <c r="H19" s="249"/>
    </row>
    <row r="20" spans="1:14" ht="26.25" customHeight="1" x14ac:dyDescent="0.4">
      <c r="A20" s="246" t="s">
        <v>32</v>
      </c>
      <c r="B20" s="741" t="s">
        <v>123</v>
      </c>
      <c r="C20" s="741"/>
      <c r="D20" s="249"/>
      <c r="E20" s="249"/>
      <c r="F20" s="249"/>
      <c r="G20" s="249"/>
      <c r="H20" s="249"/>
    </row>
    <row r="21" spans="1:14" ht="26.25" customHeight="1" x14ac:dyDescent="0.4">
      <c r="A21" s="246" t="s">
        <v>33</v>
      </c>
      <c r="B21" s="741" t="s">
        <v>9</v>
      </c>
      <c r="C21" s="741"/>
      <c r="D21" s="741"/>
      <c r="E21" s="741"/>
      <c r="F21" s="741"/>
      <c r="G21" s="741"/>
      <c r="H21" s="741"/>
      <c r="I21" s="251"/>
    </row>
    <row r="22" spans="1:14" ht="26.25" customHeight="1" x14ac:dyDescent="0.4">
      <c r="A22" s="246" t="s">
        <v>34</v>
      </c>
      <c r="B22" s="252">
        <f>'Tenofovir Disoproxil Fumarate'!B22</f>
        <v>42590</v>
      </c>
      <c r="C22" s="249"/>
      <c r="D22" s="249"/>
      <c r="E22" s="249"/>
      <c r="F22" s="249"/>
      <c r="G22" s="249"/>
      <c r="H22" s="249"/>
    </row>
    <row r="23" spans="1:14" ht="26.25" customHeight="1" x14ac:dyDescent="0.4">
      <c r="A23" s="246" t="s">
        <v>35</v>
      </c>
      <c r="B23" s="252">
        <f>'Tenofovir Disoproxil Fumarate'!B23</f>
        <v>42643</v>
      </c>
      <c r="C23" s="249"/>
      <c r="D23" s="249"/>
      <c r="E23" s="249"/>
      <c r="F23" s="249"/>
      <c r="G23" s="249"/>
      <c r="H23" s="249"/>
    </row>
    <row r="24" spans="1:14" ht="18.75" x14ac:dyDescent="0.3">
      <c r="A24" s="246"/>
      <c r="B24" s="253"/>
    </row>
    <row r="25" spans="1:14" ht="18.75" x14ac:dyDescent="0.3">
      <c r="A25" s="254" t="s">
        <v>1</v>
      </c>
      <c r="B25" s="253"/>
    </row>
    <row r="26" spans="1:14" ht="26.25" customHeight="1" x14ac:dyDescent="0.4">
      <c r="A26" s="255" t="s">
        <v>4</v>
      </c>
      <c r="B26" s="740" t="s">
        <v>126</v>
      </c>
      <c r="C26" s="740"/>
    </row>
    <row r="27" spans="1:14" ht="26.25" customHeight="1" x14ac:dyDescent="0.4">
      <c r="A27" s="256" t="s">
        <v>45</v>
      </c>
      <c r="B27" s="742" t="s">
        <v>130</v>
      </c>
      <c r="C27" s="742"/>
    </row>
    <row r="28" spans="1:14" ht="27" customHeight="1" thickBot="1" x14ac:dyDescent="0.45">
      <c r="A28" s="256" t="s">
        <v>6</v>
      </c>
      <c r="B28" s="257">
        <v>100</v>
      </c>
    </row>
    <row r="29" spans="1:14" s="259" customFormat="1" ht="27" customHeight="1" thickBot="1" x14ac:dyDescent="0.45">
      <c r="A29" s="256" t="s">
        <v>46</v>
      </c>
      <c r="B29" s="258">
        <v>0</v>
      </c>
      <c r="C29" s="743" t="s">
        <v>47</v>
      </c>
      <c r="D29" s="744"/>
      <c r="E29" s="744"/>
      <c r="F29" s="744"/>
      <c r="G29" s="745"/>
      <c r="I29" s="260"/>
      <c r="J29" s="260"/>
      <c r="K29" s="260"/>
      <c r="L29" s="260"/>
    </row>
    <row r="30" spans="1:14" s="259" customFormat="1" ht="19.5" customHeight="1" thickBot="1" x14ac:dyDescent="0.35">
      <c r="A30" s="256" t="s">
        <v>48</v>
      </c>
      <c r="B30" s="261">
        <f>B28-B29</f>
        <v>100</v>
      </c>
      <c r="C30" s="262"/>
      <c r="D30" s="262"/>
      <c r="E30" s="262"/>
      <c r="F30" s="262"/>
      <c r="G30" s="263"/>
      <c r="I30" s="260"/>
      <c r="J30" s="260"/>
      <c r="K30" s="260"/>
      <c r="L30" s="260"/>
    </row>
    <row r="31" spans="1:14" s="259" customFormat="1" ht="27" customHeight="1" thickBot="1" x14ac:dyDescent="0.45">
      <c r="A31" s="256" t="s">
        <v>49</v>
      </c>
      <c r="B31" s="264">
        <v>1</v>
      </c>
      <c r="C31" s="731" t="s">
        <v>50</v>
      </c>
      <c r="D31" s="732"/>
      <c r="E31" s="732"/>
      <c r="F31" s="732"/>
      <c r="G31" s="732"/>
      <c r="H31" s="733"/>
      <c r="I31" s="260"/>
      <c r="J31" s="260"/>
      <c r="K31" s="260"/>
      <c r="L31" s="260"/>
    </row>
    <row r="32" spans="1:14" s="259" customFormat="1" ht="27" customHeight="1" thickBot="1" x14ac:dyDescent="0.45">
      <c r="A32" s="256" t="s">
        <v>51</v>
      </c>
      <c r="B32" s="264">
        <v>1</v>
      </c>
      <c r="C32" s="731" t="s">
        <v>52</v>
      </c>
      <c r="D32" s="732"/>
      <c r="E32" s="732"/>
      <c r="F32" s="732"/>
      <c r="G32" s="732"/>
      <c r="H32" s="733"/>
      <c r="I32" s="260"/>
      <c r="J32" s="260"/>
      <c r="K32" s="260"/>
      <c r="L32" s="265"/>
      <c r="M32" s="265"/>
      <c r="N32" s="266"/>
    </row>
    <row r="33" spans="1:14" s="259" customFormat="1" ht="17.25" customHeight="1" x14ac:dyDescent="0.3">
      <c r="A33" s="256"/>
      <c r="B33" s="267"/>
      <c r="C33" s="268"/>
      <c r="D33" s="268"/>
      <c r="E33" s="268"/>
      <c r="F33" s="268"/>
      <c r="G33" s="268"/>
      <c r="H33" s="268"/>
      <c r="I33" s="260"/>
      <c r="J33" s="260"/>
      <c r="K33" s="260"/>
      <c r="L33" s="265"/>
      <c r="M33" s="265"/>
      <c r="N33" s="266"/>
    </row>
    <row r="34" spans="1:14" s="259" customFormat="1" ht="18.75" x14ac:dyDescent="0.3">
      <c r="A34" s="256" t="s">
        <v>53</v>
      </c>
      <c r="B34" s="269">
        <f>B31/B32</f>
        <v>1</v>
      </c>
      <c r="C34" s="244" t="s">
        <v>54</v>
      </c>
      <c r="D34" s="244"/>
      <c r="E34" s="244"/>
      <c r="F34" s="244"/>
      <c r="G34" s="244"/>
      <c r="I34" s="260"/>
      <c r="J34" s="260"/>
      <c r="K34" s="260"/>
      <c r="L34" s="265"/>
      <c r="M34" s="265"/>
      <c r="N34" s="266"/>
    </row>
    <row r="35" spans="1:14" s="259" customFormat="1" ht="19.5" customHeight="1" thickBot="1" x14ac:dyDescent="0.35">
      <c r="A35" s="256"/>
      <c r="B35" s="261"/>
      <c r="G35" s="244"/>
      <c r="I35" s="260"/>
      <c r="J35" s="260"/>
      <c r="K35" s="260"/>
      <c r="L35" s="265"/>
      <c r="M35" s="265"/>
      <c r="N35" s="266"/>
    </row>
    <row r="36" spans="1:14" s="259" customFormat="1" ht="27" customHeight="1" thickBot="1" x14ac:dyDescent="0.45">
      <c r="A36" s="270" t="s">
        <v>55</v>
      </c>
      <c r="B36" s="271">
        <v>50</v>
      </c>
      <c r="C36" s="244"/>
      <c r="D36" s="746" t="s">
        <v>56</v>
      </c>
      <c r="E36" s="747"/>
      <c r="F36" s="746" t="s">
        <v>57</v>
      </c>
      <c r="G36" s="748"/>
      <c r="J36" s="260"/>
      <c r="K36" s="260"/>
      <c r="L36" s="265"/>
      <c r="M36" s="265"/>
      <c r="N36" s="266"/>
    </row>
    <row r="37" spans="1:14" s="259" customFormat="1" ht="27" customHeight="1" thickBot="1" x14ac:dyDescent="0.45">
      <c r="A37" s="272" t="s">
        <v>58</v>
      </c>
      <c r="B37" s="273">
        <v>10</v>
      </c>
      <c r="C37" s="274" t="s">
        <v>59</v>
      </c>
      <c r="D37" s="275" t="s">
        <v>60</v>
      </c>
      <c r="E37" s="276" t="s">
        <v>61</v>
      </c>
      <c r="F37" s="275" t="s">
        <v>60</v>
      </c>
      <c r="G37" s="277" t="s">
        <v>61</v>
      </c>
      <c r="I37" s="278" t="s">
        <v>62</v>
      </c>
      <c r="J37" s="260"/>
      <c r="K37" s="260"/>
      <c r="L37" s="265"/>
      <c r="M37" s="265"/>
      <c r="N37" s="266"/>
    </row>
    <row r="38" spans="1:14" s="259" customFormat="1" ht="26.25" customHeight="1" x14ac:dyDescent="0.4">
      <c r="A38" s="272" t="s">
        <v>63</v>
      </c>
      <c r="B38" s="273">
        <v>25</v>
      </c>
      <c r="C38" s="279">
        <v>1</v>
      </c>
      <c r="D38" s="280">
        <v>44649895</v>
      </c>
      <c r="E38" s="281">
        <f>IF(ISBLANK(D38),"-",$D$48/$D$45*D38)</f>
        <v>46094179.284239508</v>
      </c>
      <c r="F38" s="280">
        <v>47472958</v>
      </c>
      <c r="G38" s="282">
        <f>IF(ISBLANK(F38),"-",$D$48/$F$45*F38)</f>
        <v>46910037.549407117</v>
      </c>
      <c r="I38" s="283"/>
      <c r="J38" s="260"/>
      <c r="K38" s="260"/>
      <c r="L38" s="265"/>
      <c r="M38" s="265"/>
      <c r="N38" s="266"/>
    </row>
    <row r="39" spans="1:14" s="259" customFormat="1" ht="26.25" customHeight="1" x14ac:dyDescent="0.4">
      <c r="A39" s="272" t="s">
        <v>64</v>
      </c>
      <c r="B39" s="273">
        <v>1</v>
      </c>
      <c r="C39" s="284">
        <v>2</v>
      </c>
      <c r="D39" s="285">
        <v>44476964</v>
      </c>
      <c r="E39" s="286">
        <f>IF(ISBLANK(D39),"-",$D$48/$D$45*D39)</f>
        <v>45915654.507914662</v>
      </c>
      <c r="F39" s="285">
        <v>47514944</v>
      </c>
      <c r="G39" s="287">
        <f>IF(ISBLANK(F39),"-",$D$48/$F$45*F39)</f>
        <v>46951525.691699609</v>
      </c>
      <c r="I39" s="749">
        <f>ABS((F43/D43*D42)-F42)/D42</f>
        <v>2.0597560446188472E-2</v>
      </c>
      <c r="J39" s="260"/>
      <c r="K39" s="260"/>
      <c r="L39" s="265"/>
      <c r="M39" s="265"/>
      <c r="N39" s="266"/>
    </row>
    <row r="40" spans="1:14" ht="26.25" customHeight="1" x14ac:dyDescent="0.4">
      <c r="A40" s="272" t="s">
        <v>65</v>
      </c>
      <c r="B40" s="273">
        <v>1</v>
      </c>
      <c r="C40" s="284">
        <v>3</v>
      </c>
      <c r="D40" s="285">
        <v>44606027</v>
      </c>
      <c r="E40" s="286">
        <f>IF(ISBLANK(D40),"-",$D$48/$D$45*D40)</f>
        <v>46048892.291810051</v>
      </c>
      <c r="F40" s="285">
        <v>47482100</v>
      </c>
      <c r="G40" s="287">
        <f>IF(ISBLANK(F40),"-",$D$48/$F$45*F40)</f>
        <v>46919071.146245062</v>
      </c>
      <c r="I40" s="749"/>
      <c r="L40" s="265"/>
      <c r="M40" s="265"/>
      <c r="N40" s="244"/>
    </row>
    <row r="41" spans="1:14" ht="27" customHeight="1" thickBot="1" x14ac:dyDescent="0.45">
      <c r="A41" s="272" t="s">
        <v>66</v>
      </c>
      <c r="B41" s="273">
        <v>1</v>
      </c>
      <c r="C41" s="288">
        <v>4</v>
      </c>
      <c r="D41" s="289"/>
      <c r="E41" s="290" t="str">
        <f>IF(ISBLANK(D41),"-",$D$48/$D$45*D41)</f>
        <v>-</v>
      </c>
      <c r="F41" s="289"/>
      <c r="G41" s="291" t="str">
        <f>IF(ISBLANK(F41),"-",$D$48/$F$45*F41)</f>
        <v>-</v>
      </c>
      <c r="I41" s="292"/>
      <c r="L41" s="265"/>
      <c r="M41" s="265"/>
      <c r="N41" s="244"/>
    </row>
    <row r="42" spans="1:14" ht="27" customHeight="1" thickBot="1" x14ac:dyDescent="0.45">
      <c r="A42" s="272" t="s">
        <v>67</v>
      </c>
      <c r="B42" s="273">
        <v>1</v>
      </c>
      <c r="C42" s="293" t="s">
        <v>68</v>
      </c>
      <c r="D42" s="294">
        <f>AVERAGE(D38:D41)</f>
        <v>44577628.666666664</v>
      </c>
      <c r="E42" s="295">
        <f>AVERAGE(E38:E41)</f>
        <v>46019575.361321412</v>
      </c>
      <c r="F42" s="294">
        <f>AVERAGE(F38:F41)</f>
        <v>47490000.666666664</v>
      </c>
      <c r="G42" s="296">
        <f>AVERAGE(G38:G41)</f>
        <v>46926878.129117258</v>
      </c>
      <c r="H42" s="297"/>
    </row>
    <row r="43" spans="1:14" ht="26.25" customHeight="1" x14ac:dyDescent="0.4">
      <c r="A43" s="272" t="s">
        <v>69</v>
      </c>
      <c r="B43" s="273">
        <v>1</v>
      </c>
      <c r="C43" s="298" t="s">
        <v>70</v>
      </c>
      <c r="D43" s="299">
        <v>14.53</v>
      </c>
      <c r="E43" s="244"/>
      <c r="F43" s="299">
        <v>15.18</v>
      </c>
      <c r="H43" s="297"/>
    </row>
    <row r="44" spans="1:14" ht="26.25" customHeight="1" x14ac:dyDescent="0.4">
      <c r="A44" s="272" t="s">
        <v>71</v>
      </c>
      <c r="B44" s="273">
        <v>1</v>
      </c>
      <c r="C44" s="300" t="s">
        <v>72</v>
      </c>
      <c r="D44" s="301">
        <f>D43*$B$34</f>
        <v>14.53</v>
      </c>
      <c r="E44" s="302"/>
      <c r="F44" s="301">
        <f>F43*$B$34</f>
        <v>15.18</v>
      </c>
      <c r="H44" s="297"/>
    </row>
    <row r="45" spans="1:14" ht="19.5" customHeight="1" thickBot="1" x14ac:dyDescent="0.35">
      <c r="A45" s="272" t="s">
        <v>73</v>
      </c>
      <c r="B45" s="284">
        <f>(B44/B43)*(B42/B41)*(B40/B39)*(B38/B37)*B36</f>
        <v>125</v>
      </c>
      <c r="C45" s="300" t="s">
        <v>74</v>
      </c>
      <c r="D45" s="303">
        <f>D44*$B$30/100</f>
        <v>14.53</v>
      </c>
      <c r="E45" s="304"/>
      <c r="F45" s="303">
        <f>F44*$B$30/100</f>
        <v>15.18</v>
      </c>
      <c r="H45" s="297"/>
    </row>
    <row r="46" spans="1:14" ht="19.5" customHeight="1" thickBot="1" x14ac:dyDescent="0.35">
      <c r="A46" s="750" t="s">
        <v>75</v>
      </c>
      <c r="B46" s="751"/>
      <c r="C46" s="300" t="s">
        <v>76</v>
      </c>
      <c r="D46" s="305">
        <f>D45/$B$45</f>
        <v>0.11624</v>
      </c>
      <c r="E46" s="306"/>
      <c r="F46" s="307">
        <f>F45/$B$45</f>
        <v>0.12143999999999999</v>
      </c>
      <c r="H46" s="297"/>
    </row>
    <row r="47" spans="1:14" ht="27" customHeight="1" thickBot="1" x14ac:dyDescent="0.45">
      <c r="A47" s="752"/>
      <c r="B47" s="753"/>
      <c r="C47" s="308" t="s">
        <v>77</v>
      </c>
      <c r="D47" s="309">
        <v>0.12</v>
      </c>
      <c r="E47" s="310"/>
      <c r="F47" s="306"/>
      <c r="H47" s="297"/>
    </row>
    <row r="48" spans="1:14" ht="18.75" x14ac:dyDescent="0.3">
      <c r="C48" s="311" t="s">
        <v>78</v>
      </c>
      <c r="D48" s="303">
        <f>D47*$B$45</f>
        <v>15</v>
      </c>
      <c r="F48" s="312"/>
      <c r="H48" s="297"/>
    </row>
    <row r="49" spans="1:12" ht="19.5" customHeight="1" thickBot="1" x14ac:dyDescent="0.35">
      <c r="C49" s="313" t="s">
        <v>79</v>
      </c>
      <c r="D49" s="314">
        <f>D48/B34</f>
        <v>15</v>
      </c>
      <c r="F49" s="312"/>
      <c r="H49" s="297"/>
    </row>
    <row r="50" spans="1:12" ht="18.75" x14ac:dyDescent="0.3">
      <c r="C50" s="270" t="s">
        <v>80</v>
      </c>
      <c r="D50" s="315">
        <f>AVERAGE(E38:E41,G38:G41)</f>
        <v>46473226.745219342</v>
      </c>
      <c r="F50" s="316"/>
      <c r="H50" s="297"/>
    </row>
    <row r="51" spans="1:12" ht="18.75" x14ac:dyDescent="0.3">
      <c r="C51" s="272" t="s">
        <v>81</v>
      </c>
      <c r="D51" s="317">
        <f>STDEV(E38:E41,G38:G41)/D50</f>
        <v>1.0771675240712144E-2</v>
      </c>
      <c r="F51" s="316"/>
      <c r="H51" s="297"/>
    </row>
    <row r="52" spans="1:12" ht="19.5" customHeight="1" thickBot="1" x14ac:dyDescent="0.35">
      <c r="C52" s="318" t="s">
        <v>17</v>
      </c>
      <c r="D52" s="319">
        <f>COUNT(E38:E41,G38:G41)</f>
        <v>6</v>
      </c>
      <c r="F52" s="316"/>
    </row>
    <row r="54" spans="1:12" ht="18.75" x14ac:dyDescent="0.3">
      <c r="A54" s="320" t="s">
        <v>1</v>
      </c>
      <c r="B54" s="321" t="s">
        <v>82</v>
      </c>
    </row>
    <row r="55" spans="1:12" ht="18.75" x14ac:dyDescent="0.3">
      <c r="A55" s="244" t="s">
        <v>83</v>
      </c>
      <c r="B55" s="322" t="str">
        <f>B21</f>
        <v>Tenofovir Disoproxil Fumarate 300mg, Lamivudine 300mg, Efavirenz 600mg</v>
      </c>
    </row>
    <row r="56" spans="1:12" ht="26.25" customHeight="1" x14ac:dyDescent="0.4">
      <c r="A56" s="322" t="s">
        <v>84</v>
      </c>
      <c r="B56" s="323">
        <v>300</v>
      </c>
      <c r="C56" s="244" t="str">
        <f>B20</f>
        <v xml:space="preserve">Tenofovir Disoproxil Fumarate 300mg, Lamivudine 300mg &amp; Efavirenz 600mg </v>
      </c>
      <c r="H56" s="302"/>
    </row>
    <row r="57" spans="1:12" ht="18.75" x14ac:dyDescent="0.3">
      <c r="A57" s="322" t="s">
        <v>85</v>
      </c>
      <c r="B57" s="324">
        <f>'Tenofovir Disoproxil Fumarate'!B57</f>
        <v>1890.5280000000002</v>
      </c>
      <c r="H57" s="302"/>
    </row>
    <row r="58" spans="1:12" ht="19.5" customHeight="1" thickBot="1" x14ac:dyDescent="0.35">
      <c r="H58" s="302"/>
    </row>
    <row r="59" spans="1:12" s="259" customFormat="1" ht="27" customHeight="1" thickBot="1" x14ac:dyDescent="0.45">
      <c r="A59" s="270" t="s">
        <v>86</v>
      </c>
      <c r="B59" s="271">
        <v>250</v>
      </c>
      <c r="C59" s="244"/>
      <c r="D59" s="325" t="s">
        <v>87</v>
      </c>
      <c r="E59" s="326" t="s">
        <v>59</v>
      </c>
      <c r="F59" s="326" t="s">
        <v>60</v>
      </c>
      <c r="G59" s="326" t="s">
        <v>88</v>
      </c>
      <c r="H59" s="274" t="s">
        <v>89</v>
      </c>
      <c r="L59" s="260"/>
    </row>
    <row r="60" spans="1:12" s="259" customFormat="1" ht="26.25" customHeight="1" x14ac:dyDescent="0.4">
      <c r="A60" s="272" t="s">
        <v>90</v>
      </c>
      <c r="B60" s="273">
        <v>3</v>
      </c>
      <c r="C60" s="754" t="s">
        <v>91</v>
      </c>
      <c r="D60" s="757">
        <f>'Tenofovir Disoproxil Fumarate'!D60:D63</f>
        <v>1885.26</v>
      </c>
      <c r="E60" s="327">
        <v>1</v>
      </c>
      <c r="F60" s="328">
        <v>57826388</v>
      </c>
      <c r="G60" s="329">
        <f>IF(ISBLANK(F60),"-",(F60/$D$50*$D$47*$B$68)*($B$57/$D$60))</f>
        <v>311.94290179944113</v>
      </c>
      <c r="H60" s="330">
        <f t="shared" ref="H60:H71" si="0">IF(ISBLANK(F60),"-",G60/$B$56)</f>
        <v>1.0398096726648038</v>
      </c>
      <c r="L60" s="260"/>
    </row>
    <row r="61" spans="1:12" s="259" customFormat="1" ht="26.25" customHeight="1" x14ac:dyDescent="0.4">
      <c r="A61" s="272" t="s">
        <v>92</v>
      </c>
      <c r="B61" s="273">
        <v>25</v>
      </c>
      <c r="C61" s="755"/>
      <c r="D61" s="758"/>
      <c r="E61" s="331">
        <v>2</v>
      </c>
      <c r="F61" s="285">
        <v>57703386</v>
      </c>
      <c r="G61" s="332">
        <f>IF(ISBLANK(F61),"-",(F61/$D$50*$D$47*$B$68)*($B$57/$D$60))</f>
        <v>311.27937080374522</v>
      </c>
      <c r="H61" s="333">
        <f t="shared" si="0"/>
        <v>1.0375979026791506</v>
      </c>
      <c r="L61" s="260"/>
    </row>
    <row r="62" spans="1:12" s="259" customFormat="1" ht="26.25" customHeight="1" x14ac:dyDescent="0.4">
      <c r="A62" s="272" t="s">
        <v>93</v>
      </c>
      <c r="B62" s="273">
        <v>1</v>
      </c>
      <c r="C62" s="755"/>
      <c r="D62" s="758"/>
      <c r="E62" s="331">
        <v>3</v>
      </c>
      <c r="F62" s="334">
        <v>57769677</v>
      </c>
      <c r="G62" s="332">
        <f>IF(ISBLANK(F62),"-",(F62/$D$50*$D$47*$B$68)*($B$57/$D$60))</f>
        <v>311.63697582834379</v>
      </c>
      <c r="H62" s="333">
        <f t="shared" si="0"/>
        <v>1.0387899194278127</v>
      </c>
      <c r="L62" s="260"/>
    </row>
    <row r="63" spans="1:12" ht="27" customHeight="1" thickBot="1" x14ac:dyDescent="0.45">
      <c r="A63" s="272" t="s">
        <v>94</v>
      </c>
      <c r="B63" s="273">
        <v>1</v>
      </c>
      <c r="C63" s="756"/>
      <c r="D63" s="759"/>
      <c r="E63" s="335">
        <v>4</v>
      </c>
      <c r="F63" s="336"/>
      <c r="G63" s="332" t="str">
        <f>IF(ISBLANK(F63),"-",(F63/$D$50*$D$47*$B$68)*($B$57/$D$60))</f>
        <v>-</v>
      </c>
      <c r="H63" s="333" t="str">
        <f t="shared" si="0"/>
        <v>-</v>
      </c>
    </row>
    <row r="64" spans="1:12" ht="26.25" customHeight="1" x14ac:dyDescent="0.4">
      <c r="A64" s="272" t="s">
        <v>95</v>
      </c>
      <c r="B64" s="273">
        <v>1</v>
      </c>
      <c r="C64" s="754" t="s">
        <v>96</v>
      </c>
      <c r="D64" s="757">
        <f>'Tenofovir Disoproxil Fumarate'!D64:D67</f>
        <v>1899.38</v>
      </c>
      <c r="E64" s="327">
        <v>1</v>
      </c>
      <c r="F64" s="328">
        <v>56259901</v>
      </c>
      <c r="G64" s="337">
        <f>IF(ISBLANK(F64),"-",(F64/$D$50*$D$47*$B$68)*($B$57/$D$64))</f>
        <v>301.23636470364193</v>
      </c>
      <c r="H64" s="338">
        <f t="shared" si="0"/>
        <v>1.0041212156788064</v>
      </c>
    </row>
    <row r="65" spans="1:8" ht="26.25" customHeight="1" x14ac:dyDescent="0.4">
      <c r="A65" s="272" t="s">
        <v>97</v>
      </c>
      <c r="B65" s="273">
        <v>1</v>
      </c>
      <c r="C65" s="755"/>
      <c r="D65" s="758"/>
      <c r="E65" s="331">
        <v>2</v>
      </c>
      <c r="F65" s="285">
        <v>56562354</v>
      </c>
      <c r="G65" s="339">
        <f>IF(ISBLANK(F65),"-",(F65/$D$50*$D$47*$B$68)*($B$57/$D$64))</f>
        <v>302.85581018069155</v>
      </c>
      <c r="H65" s="340">
        <f t="shared" si="0"/>
        <v>1.0095193672689717</v>
      </c>
    </row>
    <row r="66" spans="1:8" ht="26.25" customHeight="1" x14ac:dyDescent="0.4">
      <c r="A66" s="272" t="s">
        <v>98</v>
      </c>
      <c r="B66" s="273">
        <v>1</v>
      </c>
      <c r="C66" s="755"/>
      <c r="D66" s="758"/>
      <c r="E66" s="331">
        <v>3</v>
      </c>
      <c r="F66" s="285">
        <v>56433464</v>
      </c>
      <c r="G66" s="339">
        <f>IF(ISBLANK(F66),"-",(F66/$D$50*$D$47*$B$68)*($B$57/$D$64))</f>
        <v>302.16568534299137</v>
      </c>
      <c r="H66" s="340">
        <f t="shared" si="0"/>
        <v>1.0072189511433045</v>
      </c>
    </row>
    <row r="67" spans="1:8" ht="27" customHeight="1" thickBot="1" x14ac:dyDescent="0.45">
      <c r="A67" s="272" t="s">
        <v>99</v>
      </c>
      <c r="B67" s="273">
        <v>1</v>
      </c>
      <c r="C67" s="756"/>
      <c r="D67" s="759"/>
      <c r="E67" s="335">
        <v>4</v>
      </c>
      <c r="F67" s="336"/>
      <c r="G67" s="341" t="str">
        <f>IF(ISBLANK(F67),"-",(F67/$D$50*$D$47*$B$68)*($B$57/$D$64))</f>
        <v>-</v>
      </c>
      <c r="H67" s="342" t="str">
        <f t="shared" si="0"/>
        <v>-</v>
      </c>
    </row>
    <row r="68" spans="1:8" ht="26.25" customHeight="1" x14ac:dyDescent="0.4">
      <c r="A68" s="272" t="s">
        <v>100</v>
      </c>
      <c r="B68" s="343">
        <f>(B67/B66)*(B65/B64)*(B63/B62)*(B61/B60)*B59</f>
        <v>2083.3333333333335</v>
      </c>
      <c r="C68" s="754" t="s">
        <v>101</v>
      </c>
      <c r="D68" s="757">
        <f>'Tenofovir Disoproxil Fumarate'!D68:D71</f>
        <v>1879.85</v>
      </c>
      <c r="E68" s="327">
        <v>1</v>
      </c>
      <c r="F68" s="328">
        <v>56479053</v>
      </c>
      <c r="G68" s="337">
        <f>IF(ISBLANK(F68),"-",(F68/$D$50*$D$47*$B$68)*($B$57/$D$68))</f>
        <v>305.55155935547793</v>
      </c>
      <c r="H68" s="333">
        <f t="shared" si="0"/>
        <v>1.0185051978515931</v>
      </c>
    </row>
    <row r="69" spans="1:8" ht="27" customHeight="1" thickBot="1" x14ac:dyDescent="0.45">
      <c r="A69" s="318" t="s">
        <v>102</v>
      </c>
      <c r="B69" s="344">
        <f>(D47*B68)/B56*B57</f>
        <v>1575.4400000000003</v>
      </c>
      <c r="C69" s="755"/>
      <c r="D69" s="758"/>
      <c r="E69" s="331">
        <v>2</v>
      </c>
      <c r="F69" s="285">
        <v>56777133</v>
      </c>
      <c r="G69" s="339">
        <f>IF(ISBLANK(F69),"-",(F69/$D$50*$D$47*$B$68)*($B$57/$D$68))</f>
        <v>307.16417153600941</v>
      </c>
      <c r="H69" s="333">
        <f t="shared" si="0"/>
        <v>1.0238805717866981</v>
      </c>
    </row>
    <row r="70" spans="1:8" ht="26.25" customHeight="1" x14ac:dyDescent="0.4">
      <c r="A70" s="762" t="s">
        <v>75</v>
      </c>
      <c r="B70" s="763"/>
      <c r="C70" s="755"/>
      <c r="D70" s="758"/>
      <c r="E70" s="331">
        <v>3</v>
      </c>
      <c r="F70" s="285">
        <v>56664213</v>
      </c>
      <c r="G70" s="339">
        <f>IF(ISBLANK(F70),"-",(F70/$D$50*$D$47*$B$68)*($B$57/$D$68))</f>
        <v>306.55327457067926</v>
      </c>
      <c r="H70" s="333">
        <f t="shared" si="0"/>
        <v>1.021844248568931</v>
      </c>
    </row>
    <row r="71" spans="1:8" ht="27" customHeight="1" thickBot="1" x14ac:dyDescent="0.45">
      <c r="A71" s="764"/>
      <c r="B71" s="765"/>
      <c r="C71" s="760"/>
      <c r="D71" s="759"/>
      <c r="E71" s="335">
        <v>4</v>
      </c>
      <c r="F71" s="336"/>
      <c r="G71" s="341" t="str">
        <f>IF(ISBLANK(F71),"-",(F71/$D$50*$D$47*$B$68)*($B$57/$D$68))</f>
        <v>-</v>
      </c>
      <c r="H71" s="345" t="str">
        <f t="shared" si="0"/>
        <v>-</v>
      </c>
    </row>
    <row r="72" spans="1:8" ht="26.25" customHeight="1" x14ac:dyDescent="0.4">
      <c r="A72" s="302"/>
      <c r="B72" s="302"/>
      <c r="C72" s="302"/>
      <c r="D72" s="302"/>
      <c r="E72" s="302"/>
      <c r="F72" s="346" t="s">
        <v>68</v>
      </c>
      <c r="G72" s="347">
        <f>AVERAGE(G60:G71)</f>
        <v>306.70956823566905</v>
      </c>
      <c r="H72" s="348">
        <f>AVERAGE(H60:H71)</f>
        <v>1.0223652274522304</v>
      </c>
    </row>
    <row r="73" spans="1:8" ht="26.25" customHeight="1" x14ac:dyDescent="0.4">
      <c r="C73" s="302"/>
      <c r="D73" s="302"/>
      <c r="E73" s="302"/>
      <c r="F73" s="349" t="s">
        <v>81</v>
      </c>
      <c r="G73" s="350">
        <f>STDEV(G60:G71)/G72</f>
        <v>1.3618646731046503E-2</v>
      </c>
      <c r="H73" s="350">
        <f>STDEV(H60:H71)/H72</f>
        <v>1.361864673104653E-2</v>
      </c>
    </row>
    <row r="74" spans="1:8" ht="27" customHeight="1" thickBot="1" x14ac:dyDescent="0.45">
      <c r="A74" s="302"/>
      <c r="B74" s="302"/>
      <c r="C74" s="302"/>
      <c r="D74" s="302"/>
      <c r="E74" s="304"/>
      <c r="F74" s="351" t="s">
        <v>17</v>
      </c>
      <c r="G74" s="352">
        <f>COUNT(G60:G71)</f>
        <v>9</v>
      </c>
      <c r="H74" s="352">
        <f>COUNT(H60:H71)</f>
        <v>9</v>
      </c>
    </row>
    <row r="76" spans="1:8" ht="26.25" customHeight="1" x14ac:dyDescent="0.4">
      <c r="A76" s="255" t="s">
        <v>103</v>
      </c>
      <c r="B76" s="256" t="s">
        <v>104</v>
      </c>
      <c r="C76" s="766" t="str">
        <f>B20</f>
        <v xml:space="preserve">Tenofovir Disoproxil Fumarate 300mg, Lamivudine 300mg &amp; Efavirenz 600mg </v>
      </c>
      <c r="D76" s="766"/>
      <c r="E76" s="244" t="s">
        <v>105</v>
      </c>
      <c r="F76" s="244"/>
      <c r="G76" s="353">
        <f>H72</f>
        <v>1.0223652274522304</v>
      </c>
      <c r="H76" s="261"/>
    </row>
    <row r="77" spans="1:8" ht="18.75" x14ac:dyDescent="0.3">
      <c r="A77" s="254" t="s">
        <v>106</v>
      </c>
      <c r="B77" s="254" t="s">
        <v>107</v>
      </c>
    </row>
    <row r="78" spans="1:8" ht="18.75" x14ac:dyDescent="0.3">
      <c r="A78" s="254"/>
      <c r="B78" s="254"/>
    </row>
    <row r="79" spans="1:8" ht="26.25" customHeight="1" x14ac:dyDescent="0.4">
      <c r="A79" s="255" t="s">
        <v>4</v>
      </c>
      <c r="B79" s="761" t="str">
        <f>B26</f>
        <v>Lamivudine</v>
      </c>
      <c r="C79" s="761"/>
    </row>
    <row r="80" spans="1:8" ht="26.25" customHeight="1" x14ac:dyDescent="0.4">
      <c r="A80" s="256" t="s">
        <v>45</v>
      </c>
      <c r="B80" s="761" t="s">
        <v>130</v>
      </c>
      <c r="C80" s="761"/>
    </row>
    <row r="81" spans="1:12" ht="27" customHeight="1" thickBot="1" x14ac:dyDescent="0.45">
      <c r="A81" s="256" t="s">
        <v>6</v>
      </c>
      <c r="B81" s="257">
        <v>100</v>
      </c>
    </row>
    <row r="82" spans="1:12" s="259" customFormat="1" ht="27" customHeight="1" thickBot="1" x14ac:dyDescent="0.45">
      <c r="A82" s="256" t="s">
        <v>46</v>
      </c>
      <c r="B82" s="258">
        <v>0</v>
      </c>
      <c r="C82" s="743" t="s">
        <v>47</v>
      </c>
      <c r="D82" s="744"/>
      <c r="E82" s="744"/>
      <c r="F82" s="744"/>
      <c r="G82" s="745"/>
      <c r="I82" s="260"/>
      <c r="J82" s="260"/>
      <c r="K82" s="260"/>
      <c r="L82" s="260"/>
    </row>
    <row r="83" spans="1:12" s="259" customFormat="1" ht="19.5" customHeight="1" thickBot="1" x14ac:dyDescent="0.35">
      <c r="A83" s="256" t="s">
        <v>48</v>
      </c>
      <c r="B83" s="261">
        <f>B81-B82</f>
        <v>100</v>
      </c>
      <c r="C83" s="262"/>
      <c r="D83" s="262"/>
      <c r="E83" s="262"/>
      <c r="F83" s="262"/>
      <c r="G83" s="263"/>
      <c r="I83" s="260"/>
      <c r="J83" s="260"/>
      <c r="K83" s="260"/>
      <c r="L83" s="260"/>
    </row>
    <row r="84" spans="1:12" s="259" customFormat="1" ht="27" customHeight="1" thickBot="1" x14ac:dyDescent="0.45">
      <c r="A84" s="256" t="s">
        <v>49</v>
      </c>
      <c r="B84" s="264">
        <v>1</v>
      </c>
      <c r="C84" s="731" t="s">
        <v>108</v>
      </c>
      <c r="D84" s="732"/>
      <c r="E84" s="732"/>
      <c r="F84" s="732"/>
      <c r="G84" s="732"/>
      <c r="H84" s="733"/>
      <c r="I84" s="260"/>
      <c r="J84" s="260"/>
      <c r="K84" s="260"/>
      <c r="L84" s="260"/>
    </row>
    <row r="85" spans="1:12" s="259" customFormat="1" ht="27" customHeight="1" thickBot="1" x14ac:dyDescent="0.45">
      <c r="A85" s="256" t="s">
        <v>51</v>
      </c>
      <c r="B85" s="264">
        <v>1</v>
      </c>
      <c r="C85" s="731" t="s">
        <v>109</v>
      </c>
      <c r="D85" s="732"/>
      <c r="E85" s="732"/>
      <c r="F85" s="732"/>
      <c r="G85" s="732"/>
      <c r="H85" s="733"/>
      <c r="I85" s="260"/>
      <c r="J85" s="260"/>
      <c r="K85" s="260"/>
      <c r="L85" s="260"/>
    </row>
    <row r="86" spans="1:12" s="259" customFormat="1" ht="18.75" x14ac:dyDescent="0.3">
      <c r="A86" s="256"/>
      <c r="B86" s="267"/>
      <c r="C86" s="268"/>
      <c r="D86" s="268"/>
      <c r="E86" s="268"/>
      <c r="F86" s="268"/>
      <c r="G86" s="268"/>
      <c r="H86" s="268"/>
      <c r="I86" s="260"/>
      <c r="J86" s="260"/>
      <c r="K86" s="260"/>
      <c r="L86" s="260"/>
    </row>
    <row r="87" spans="1:12" s="259" customFormat="1" ht="18.75" x14ac:dyDescent="0.3">
      <c r="A87" s="256" t="s">
        <v>53</v>
      </c>
      <c r="B87" s="269">
        <f>B84/B85</f>
        <v>1</v>
      </c>
      <c r="C87" s="244" t="s">
        <v>54</v>
      </c>
      <c r="D87" s="244"/>
      <c r="E87" s="244"/>
      <c r="F87" s="244"/>
      <c r="G87" s="244"/>
      <c r="I87" s="260"/>
      <c r="J87" s="260"/>
      <c r="K87" s="260"/>
      <c r="L87" s="260"/>
    </row>
    <row r="88" spans="1:12" ht="19.5" customHeight="1" thickBot="1" x14ac:dyDescent="0.35">
      <c r="A88" s="254"/>
      <c r="B88" s="254"/>
    </row>
    <row r="89" spans="1:12" ht="27" customHeight="1" thickBot="1" x14ac:dyDescent="0.45">
      <c r="A89" s="270" t="s">
        <v>55</v>
      </c>
      <c r="B89" s="271">
        <v>50</v>
      </c>
      <c r="D89" s="354" t="s">
        <v>56</v>
      </c>
      <c r="E89" s="355"/>
      <c r="F89" s="746" t="s">
        <v>57</v>
      </c>
      <c r="G89" s="748"/>
    </row>
    <row r="90" spans="1:12" ht="27" customHeight="1" thickBot="1" x14ac:dyDescent="0.45">
      <c r="A90" s="272" t="s">
        <v>58</v>
      </c>
      <c r="B90" s="273">
        <v>1</v>
      </c>
      <c r="C90" s="356" t="s">
        <v>59</v>
      </c>
      <c r="D90" s="275" t="s">
        <v>60</v>
      </c>
      <c r="E90" s="276" t="s">
        <v>61</v>
      </c>
      <c r="F90" s="275" t="s">
        <v>60</v>
      </c>
      <c r="G90" s="357" t="s">
        <v>61</v>
      </c>
      <c r="I90" s="278" t="s">
        <v>62</v>
      </c>
    </row>
    <row r="91" spans="1:12" ht="26.25" customHeight="1" x14ac:dyDescent="0.4">
      <c r="A91" s="272" t="s">
        <v>63</v>
      </c>
      <c r="B91" s="273">
        <v>1</v>
      </c>
      <c r="C91" s="358">
        <v>1</v>
      </c>
      <c r="D91" s="280">
        <v>102168061</v>
      </c>
      <c r="E91" s="281">
        <f>IF(ISBLANK(D91),"-",$D$101/$D$98*D91)</f>
        <v>105910222.18382861</v>
      </c>
      <c r="F91" s="280">
        <v>109254775</v>
      </c>
      <c r="G91" s="282">
        <f>IF(ISBLANK(F91),"-",$D$101/$F$98*F91)</f>
        <v>105187524.06931964</v>
      </c>
      <c r="I91" s="283"/>
    </row>
    <row r="92" spans="1:12" ht="26.25" customHeight="1" x14ac:dyDescent="0.4">
      <c r="A92" s="272" t="s">
        <v>64</v>
      </c>
      <c r="B92" s="273">
        <v>1</v>
      </c>
      <c r="C92" s="302">
        <v>2</v>
      </c>
      <c r="D92" s="285">
        <v>102347586</v>
      </c>
      <c r="E92" s="286">
        <f>IF(ISBLANK(D92),"-",$D$101/$D$98*D92)</f>
        <v>106096322.73669662</v>
      </c>
      <c r="F92" s="285">
        <v>108877051</v>
      </c>
      <c r="G92" s="287">
        <f>IF(ISBLANK(F92),"-",$D$101/$F$98*F92)</f>
        <v>104823861.68164313</v>
      </c>
      <c r="I92" s="749">
        <f>ABS((F96/D96*D95)-F95)/D95</f>
        <v>7.3121350706752096E-3</v>
      </c>
    </row>
    <row r="93" spans="1:12" ht="26.25" customHeight="1" x14ac:dyDescent="0.4">
      <c r="A93" s="272" t="s">
        <v>65</v>
      </c>
      <c r="B93" s="273">
        <v>1</v>
      </c>
      <c r="C93" s="302">
        <v>3</v>
      </c>
      <c r="D93" s="285">
        <v>101834853</v>
      </c>
      <c r="E93" s="286">
        <f>IF(ISBLANK(D93),"-",$D$101/$D$98*D93)</f>
        <v>105564809.60608155</v>
      </c>
      <c r="F93" s="285">
        <v>109478878</v>
      </c>
      <c r="G93" s="287">
        <f>IF(ISBLANK(F93),"-",$D$101/$F$98*F93)</f>
        <v>105403284.33889602</v>
      </c>
      <c r="I93" s="749"/>
    </row>
    <row r="94" spans="1:12" ht="27" customHeight="1" thickBot="1" x14ac:dyDescent="0.45">
      <c r="A94" s="272" t="s">
        <v>66</v>
      </c>
      <c r="B94" s="273">
        <v>1</v>
      </c>
      <c r="C94" s="359">
        <v>4</v>
      </c>
      <c r="D94" s="289"/>
      <c r="E94" s="290" t="str">
        <f>IF(ISBLANK(D94),"-",$D$101/$D$98*D94)</f>
        <v>-</v>
      </c>
      <c r="F94" s="360"/>
      <c r="G94" s="291" t="str">
        <f>IF(ISBLANK(F94),"-",$D$101/$F$98*F94)</f>
        <v>-</v>
      </c>
      <c r="I94" s="292"/>
    </row>
    <row r="95" spans="1:12" ht="27" customHeight="1" thickBot="1" x14ac:dyDescent="0.45">
      <c r="A95" s="272" t="s">
        <v>67</v>
      </c>
      <c r="B95" s="273">
        <v>1</v>
      </c>
      <c r="C95" s="256" t="s">
        <v>68</v>
      </c>
      <c r="D95" s="361">
        <f>AVERAGE(D91:D94)</f>
        <v>102116833.33333333</v>
      </c>
      <c r="E95" s="295">
        <f>AVERAGE(E91:E94)</f>
        <v>105857118.1755356</v>
      </c>
      <c r="F95" s="362">
        <f>AVERAGE(F91:F94)</f>
        <v>109203568</v>
      </c>
      <c r="G95" s="363">
        <f>AVERAGE(G91:G94)</f>
        <v>105138223.36328626</v>
      </c>
    </row>
    <row r="96" spans="1:12" ht="26.25" customHeight="1" x14ac:dyDescent="0.4">
      <c r="A96" s="272" t="s">
        <v>69</v>
      </c>
      <c r="B96" s="257">
        <v>1</v>
      </c>
      <c r="C96" s="364" t="s">
        <v>110</v>
      </c>
      <c r="D96" s="365">
        <v>14.47</v>
      </c>
      <c r="E96" s="244"/>
      <c r="F96" s="299">
        <v>15.58</v>
      </c>
    </row>
    <row r="97" spans="1:10" ht="26.25" customHeight="1" x14ac:dyDescent="0.4">
      <c r="A97" s="272" t="s">
        <v>71</v>
      </c>
      <c r="B97" s="257">
        <v>1</v>
      </c>
      <c r="C97" s="366" t="s">
        <v>111</v>
      </c>
      <c r="D97" s="367">
        <f>D96*$B$87</f>
        <v>14.47</v>
      </c>
      <c r="E97" s="302"/>
      <c r="F97" s="301">
        <f>F96*$B$87</f>
        <v>15.58</v>
      </c>
    </row>
    <row r="98" spans="1:10" ht="19.5" customHeight="1" thickBot="1" x14ac:dyDescent="0.35">
      <c r="A98" s="272" t="s">
        <v>73</v>
      </c>
      <c r="B98" s="302">
        <f>(B97/B96)*(B95/B94)*(B93/B92)*(B91/B90)*B89</f>
        <v>50</v>
      </c>
      <c r="C98" s="366" t="s">
        <v>112</v>
      </c>
      <c r="D98" s="368">
        <f>D97*$B$83/100</f>
        <v>14.47</v>
      </c>
      <c r="E98" s="304"/>
      <c r="F98" s="303">
        <f>F97*$B$83/100</f>
        <v>15.58</v>
      </c>
    </row>
    <row r="99" spans="1:10" ht="19.5" customHeight="1" thickBot="1" x14ac:dyDescent="0.35">
      <c r="A99" s="750" t="s">
        <v>75</v>
      </c>
      <c r="B99" s="767"/>
      <c r="C99" s="366" t="s">
        <v>113</v>
      </c>
      <c r="D99" s="369">
        <f>D98/$B$98</f>
        <v>0.28939999999999999</v>
      </c>
      <c r="E99" s="304"/>
      <c r="F99" s="307">
        <f>F98/$B$98</f>
        <v>0.31159999999999999</v>
      </c>
      <c r="H99" s="297"/>
    </row>
    <row r="100" spans="1:10" ht="19.5" customHeight="1" thickBot="1" x14ac:dyDescent="0.35">
      <c r="A100" s="752"/>
      <c r="B100" s="768"/>
      <c r="C100" s="366" t="s">
        <v>77</v>
      </c>
      <c r="D100" s="370">
        <f>$B$56/$B$116</f>
        <v>0.3</v>
      </c>
      <c r="F100" s="312"/>
      <c r="G100" s="371"/>
      <c r="H100" s="297"/>
    </row>
    <row r="101" spans="1:10" ht="18.75" x14ac:dyDescent="0.3">
      <c r="C101" s="366" t="s">
        <v>78</v>
      </c>
      <c r="D101" s="367">
        <f>D100*$B$98</f>
        <v>15</v>
      </c>
      <c r="F101" s="312"/>
      <c r="H101" s="297"/>
    </row>
    <row r="102" spans="1:10" ht="19.5" customHeight="1" thickBot="1" x14ac:dyDescent="0.35">
      <c r="C102" s="372" t="s">
        <v>79</v>
      </c>
      <c r="D102" s="373">
        <f>D101/B34</f>
        <v>15</v>
      </c>
      <c r="F102" s="316"/>
      <c r="H102" s="297"/>
      <c r="J102" s="374"/>
    </row>
    <row r="103" spans="1:10" ht="18.75" x14ac:dyDescent="0.3">
      <c r="C103" s="375" t="s">
        <v>114</v>
      </c>
      <c r="D103" s="376">
        <f>AVERAGE(E91:E94,G91:G94)</f>
        <v>105497670.76941092</v>
      </c>
      <c r="F103" s="316"/>
      <c r="G103" s="371"/>
      <c r="H103" s="297"/>
      <c r="J103" s="377"/>
    </row>
    <row r="104" spans="1:10" ht="18.75" x14ac:dyDescent="0.3">
      <c r="C104" s="349" t="s">
        <v>81</v>
      </c>
      <c r="D104" s="378">
        <f>STDEV(E91:E94,G91:G94)/D103</f>
        <v>4.430216889919048E-3</v>
      </c>
      <c r="F104" s="316"/>
      <c r="H104" s="297"/>
      <c r="J104" s="377"/>
    </row>
    <row r="105" spans="1:10" ht="19.5" customHeight="1" thickBot="1" x14ac:dyDescent="0.35">
      <c r="C105" s="351" t="s">
        <v>17</v>
      </c>
      <c r="D105" s="379">
        <f>COUNT(E91:E94,G91:G94)</f>
        <v>6</v>
      </c>
      <c r="F105" s="316"/>
      <c r="H105" s="297"/>
      <c r="J105" s="377"/>
    </row>
    <row r="106" spans="1:10" ht="19.5" customHeight="1" thickBot="1" x14ac:dyDescent="0.35">
      <c r="A106" s="320"/>
      <c r="B106" s="320"/>
      <c r="C106" s="320"/>
      <c r="D106" s="320"/>
      <c r="E106" s="320"/>
    </row>
    <row r="107" spans="1:10" ht="26.25" customHeight="1" x14ac:dyDescent="0.4">
      <c r="A107" s="270" t="s">
        <v>115</v>
      </c>
      <c r="B107" s="271">
        <v>1000</v>
      </c>
      <c r="C107" s="354" t="s">
        <v>116</v>
      </c>
      <c r="D107" s="380" t="s">
        <v>60</v>
      </c>
      <c r="E107" s="381" t="s">
        <v>117</v>
      </c>
      <c r="F107" s="382" t="s">
        <v>118</v>
      </c>
    </row>
    <row r="108" spans="1:10" ht="26.25" customHeight="1" x14ac:dyDescent="0.4">
      <c r="A108" s="272" t="s">
        <v>119</v>
      </c>
      <c r="B108" s="273">
        <v>1</v>
      </c>
      <c r="C108" s="383">
        <v>1</v>
      </c>
      <c r="D108" s="384">
        <v>105566960</v>
      </c>
      <c r="E108" s="385">
        <f t="shared" ref="E108:E113" si="1">IF(ISBLANK(D108),"-",D108/$D$103*$D$100*$B$116)</f>
        <v>300.19703533760628</v>
      </c>
      <c r="F108" s="386">
        <f t="shared" ref="F108:F113" si="2">IF(ISBLANK(D108), "-", E108/$B$56)</f>
        <v>1.0006567844586876</v>
      </c>
    </row>
    <row r="109" spans="1:10" ht="26.25" customHeight="1" x14ac:dyDescent="0.4">
      <c r="A109" s="272" t="s">
        <v>92</v>
      </c>
      <c r="B109" s="273">
        <v>1</v>
      </c>
      <c r="C109" s="383">
        <v>2</v>
      </c>
      <c r="D109" s="384">
        <v>104453561</v>
      </c>
      <c r="E109" s="387">
        <f t="shared" si="1"/>
        <v>297.03090192855615</v>
      </c>
      <c r="F109" s="388">
        <f t="shared" si="2"/>
        <v>0.99010300642852045</v>
      </c>
    </row>
    <row r="110" spans="1:10" ht="26.25" customHeight="1" x14ac:dyDescent="0.4">
      <c r="A110" s="272" t="s">
        <v>93</v>
      </c>
      <c r="B110" s="273">
        <v>1</v>
      </c>
      <c r="C110" s="383">
        <v>3</v>
      </c>
      <c r="D110" s="384">
        <v>108788900</v>
      </c>
      <c r="E110" s="387">
        <f t="shared" si="1"/>
        <v>309.35915231090587</v>
      </c>
      <c r="F110" s="388">
        <f t="shared" si="2"/>
        <v>1.0311971743696862</v>
      </c>
    </row>
    <row r="111" spans="1:10" ht="26.25" customHeight="1" x14ac:dyDescent="0.4">
      <c r="A111" s="272" t="s">
        <v>94</v>
      </c>
      <c r="B111" s="273">
        <v>1</v>
      </c>
      <c r="C111" s="383">
        <v>4</v>
      </c>
      <c r="D111" s="384">
        <v>104662078</v>
      </c>
      <c r="E111" s="387">
        <f t="shared" si="1"/>
        <v>297.62385435626163</v>
      </c>
      <c r="F111" s="388">
        <f t="shared" si="2"/>
        <v>0.99207951452087206</v>
      </c>
    </row>
    <row r="112" spans="1:10" ht="26.25" customHeight="1" x14ac:dyDescent="0.4">
      <c r="A112" s="272" t="s">
        <v>95</v>
      </c>
      <c r="B112" s="273">
        <v>1</v>
      </c>
      <c r="C112" s="383">
        <v>5</v>
      </c>
      <c r="D112" s="384">
        <v>109081374</v>
      </c>
      <c r="E112" s="387">
        <f t="shared" si="1"/>
        <v>310.19085029399963</v>
      </c>
      <c r="F112" s="388">
        <f t="shared" si="2"/>
        <v>1.0339695009799987</v>
      </c>
    </row>
    <row r="113" spans="1:10" ht="26.25" customHeight="1" x14ac:dyDescent="0.4">
      <c r="A113" s="272" t="s">
        <v>97</v>
      </c>
      <c r="B113" s="273">
        <v>1</v>
      </c>
      <c r="C113" s="389">
        <v>6</v>
      </c>
      <c r="D113" s="390">
        <v>106612140</v>
      </c>
      <c r="E113" s="391">
        <f t="shared" si="1"/>
        <v>303.16917678597378</v>
      </c>
      <c r="F113" s="392">
        <f t="shared" si="2"/>
        <v>1.0105639226199126</v>
      </c>
    </row>
    <row r="114" spans="1:10" ht="26.25" customHeight="1" x14ac:dyDescent="0.4">
      <c r="A114" s="272" t="s">
        <v>98</v>
      </c>
      <c r="B114" s="273">
        <v>1</v>
      </c>
      <c r="C114" s="383"/>
      <c r="D114" s="302"/>
      <c r="E114" s="244"/>
      <c r="F114" s="393"/>
    </row>
    <row r="115" spans="1:10" ht="26.25" customHeight="1" x14ac:dyDescent="0.4">
      <c r="A115" s="272" t="s">
        <v>99</v>
      </c>
      <c r="B115" s="273">
        <v>1</v>
      </c>
      <c r="C115" s="383"/>
      <c r="D115" s="394" t="s">
        <v>68</v>
      </c>
      <c r="E115" s="395">
        <f>AVERAGE(E108:E113)</f>
        <v>302.9284951688839</v>
      </c>
      <c r="F115" s="396">
        <f>AVERAGE(F108:F113)</f>
        <v>1.0097616505629463</v>
      </c>
    </row>
    <row r="116" spans="1:10" ht="27" customHeight="1" thickBot="1" x14ac:dyDescent="0.45">
      <c r="A116" s="272" t="s">
        <v>100</v>
      </c>
      <c r="B116" s="284">
        <f>(B115/B114)*(B113/B112)*(B111/B110)*(B109/B108)*B107</f>
        <v>1000</v>
      </c>
      <c r="C116" s="397"/>
      <c r="D116" s="256" t="s">
        <v>81</v>
      </c>
      <c r="E116" s="398">
        <f>STDEV(E108:E113)/E115</f>
        <v>1.8936674740073243E-2</v>
      </c>
      <c r="F116" s="398">
        <f>STDEV(F108:F113)/F115</f>
        <v>1.8936674740073239E-2</v>
      </c>
      <c r="I116" s="244"/>
    </row>
    <row r="117" spans="1:10" ht="27" customHeight="1" thickBot="1" x14ac:dyDescent="0.45">
      <c r="A117" s="750" t="s">
        <v>75</v>
      </c>
      <c r="B117" s="751"/>
      <c r="C117" s="399"/>
      <c r="D117" s="400" t="s">
        <v>17</v>
      </c>
      <c r="E117" s="401">
        <f>COUNT(E108:E113)</f>
        <v>6</v>
      </c>
      <c r="F117" s="401">
        <f>COUNT(F108:F113)</f>
        <v>6</v>
      </c>
      <c r="I117" s="244"/>
      <c r="J117" s="377"/>
    </row>
    <row r="118" spans="1:10" ht="19.5" customHeight="1" thickBot="1" x14ac:dyDescent="0.35">
      <c r="A118" s="752"/>
      <c r="B118" s="753"/>
      <c r="C118" s="244"/>
      <c r="D118" s="244"/>
      <c r="E118" s="244"/>
      <c r="F118" s="302"/>
      <c r="G118" s="244"/>
      <c r="H118" s="244"/>
      <c r="I118" s="244"/>
    </row>
    <row r="119" spans="1:10" ht="18.75" x14ac:dyDescent="0.3">
      <c r="A119" s="402"/>
      <c r="B119" s="268"/>
      <c r="C119" s="244"/>
      <c r="D119" s="244"/>
      <c r="E119" s="244"/>
      <c r="F119" s="302"/>
      <c r="G119" s="244"/>
      <c r="H119" s="244"/>
      <c r="I119" s="244"/>
    </row>
    <row r="120" spans="1:10" ht="26.25" customHeight="1" x14ac:dyDescent="0.4">
      <c r="A120" s="255" t="s">
        <v>103</v>
      </c>
      <c r="B120" s="256" t="s">
        <v>120</v>
      </c>
      <c r="C120" s="766" t="str">
        <f>B20</f>
        <v xml:space="preserve">Tenofovir Disoproxil Fumarate 300mg, Lamivudine 300mg &amp; Efavirenz 600mg </v>
      </c>
      <c r="D120" s="766"/>
      <c r="E120" s="244" t="s">
        <v>121</v>
      </c>
      <c r="F120" s="244"/>
      <c r="G120" s="353">
        <f>F115</f>
        <v>1.0097616505629463</v>
      </c>
      <c r="H120" s="244"/>
      <c r="I120" s="244"/>
    </row>
    <row r="121" spans="1:10" ht="19.5" customHeight="1" thickBot="1" x14ac:dyDescent="0.35">
      <c r="A121" s="403"/>
      <c r="B121" s="403"/>
      <c r="C121" s="404"/>
      <c r="D121" s="404"/>
      <c r="E121" s="404"/>
      <c r="F121" s="404"/>
      <c r="G121" s="404"/>
      <c r="H121" s="404"/>
    </row>
    <row r="122" spans="1:10" ht="18.75" x14ac:dyDescent="0.3">
      <c r="B122" s="769" t="s">
        <v>23</v>
      </c>
      <c r="C122" s="769"/>
      <c r="E122" s="356" t="s">
        <v>24</v>
      </c>
      <c r="F122" s="405"/>
      <c r="G122" s="769" t="s">
        <v>25</v>
      </c>
      <c r="H122" s="769"/>
    </row>
    <row r="123" spans="1:10" ht="69.95" customHeight="1" x14ac:dyDescent="0.3">
      <c r="A123" s="255" t="s">
        <v>26</v>
      </c>
      <c r="B123" s="406"/>
      <c r="C123" s="406"/>
      <c r="E123" s="406"/>
      <c r="F123" s="244"/>
      <c r="G123" s="406"/>
      <c r="H123" s="406"/>
    </row>
    <row r="124" spans="1:10" ht="69.95" customHeight="1" x14ac:dyDescent="0.3">
      <c r="A124" s="255" t="s">
        <v>27</v>
      </c>
      <c r="B124" s="407"/>
      <c r="C124" s="407"/>
      <c r="E124" s="407"/>
      <c r="F124" s="244"/>
      <c r="G124" s="408"/>
      <c r="H124" s="408"/>
    </row>
    <row r="125" spans="1:10" ht="18.75" x14ac:dyDescent="0.3">
      <c r="A125" s="302"/>
      <c r="B125" s="302"/>
      <c r="C125" s="302"/>
      <c r="D125" s="302"/>
      <c r="E125" s="302"/>
      <c r="F125" s="304"/>
      <c r="G125" s="302"/>
      <c r="H125" s="302"/>
      <c r="I125" s="244"/>
    </row>
    <row r="126" spans="1:10" ht="18.75" x14ac:dyDescent="0.3">
      <c r="A126" s="302"/>
      <c r="B126" s="302"/>
      <c r="C126" s="302"/>
      <c r="D126" s="302"/>
      <c r="E126" s="302"/>
      <c r="F126" s="304"/>
      <c r="G126" s="302"/>
      <c r="H126" s="302"/>
      <c r="I126" s="244"/>
    </row>
    <row r="127" spans="1:10" ht="18.75" x14ac:dyDescent="0.3">
      <c r="A127" s="302"/>
      <c r="B127" s="302"/>
      <c r="C127" s="302"/>
      <c r="D127" s="302"/>
      <c r="E127" s="302"/>
      <c r="F127" s="304"/>
      <c r="G127" s="302"/>
      <c r="H127" s="302"/>
      <c r="I127" s="244"/>
    </row>
    <row r="128" spans="1:10" ht="18.75" x14ac:dyDescent="0.3">
      <c r="A128" s="302"/>
      <c r="B128" s="302"/>
      <c r="C128" s="302"/>
      <c r="D128" s="302"/>
      <c r="E128" s="302"/>
      <c r="F128" s="304"/>
      <c r="G128" s="302"/>
      <c r="H128" s="302"/>
      <c r="I128" s="244"/>
    </row>
    <row r="129" spans="1:9" ht="18.75" x14ac:dyDescent="0.3">
      <c r="A129" s="302"/>
      <c r="B129" s="302"/>
      <c r="C129" s="302"/>
      <c r="D129" s="302"/>
      <c r="E129" s="302"/>
      <c r="F129" s="304"/>
      <c r="G129" s="302"/>
      <c r="H129" s="302"/>
      <c r="I129" s="244"/>
    </row>
    <row r="130" spans="1:9" ht="18.75" x14ac:dyDescent="0.3">
      <c r="A130" s="302"/>
      <c r="B130" s="302"/>
      <c r="C130" s="302"/>
      <c r="D130" s="302"/>
      <c r="E130" s="302"/>
      <c r="F130" s="304"/>
      <c r="G130" s="302"/>
      <c r="H130" s="302"/>
      <c r="I130" s="244"/>
    </row>
    <row r="131" spans="1:9" ht="18.75" x14ac:dyDescent="0.3">
      <c r="A131" s="302"/>
      <c r="B131" s="302"/>
      <c r="C131" s="302"/>
      <c r="D131" s="302"/>
      <c r="E131" s="302"/>
      <c r="F131" s="304"/>
      <c r="G131" s="302"/>
      <c r="H131" s="302"/>
      <c r="I131" s="244"/>
    </row>
    <row r="132" spans="1:9" ht="18.75" x14ac:dyDescent="0.3">
      <c r="A132" s="302"/>
      <c r="B132" s="302"/>
      <c r="C132" s="302"/>
      <c r="D132" s="302"/>
      <c r="E132" s="302"/>
      <c r="F132" s="304"/>
      <c r="G132" s="302"/>
      <c r="H132" s="302"/>
      <c r="I132" s="244"/>
    </row>
    <row r="133" spans="1:9" ht="18.75" x14ac:dyDescent="0.3">
      <c r="A133" s="302"/>
      <c r="B133" s="302"/>
      <c r="C133" s="302"/>
      <c r="D133" s="302"/>
      <c r="E133" s="302"/>
      <c r="F133" s="304"/>
      <c r="G133" s="302"/>
      <c r="H133" s="302"/>
      <c r="I133" s="244"/>
    </row>
    <row r="250" spans="1:1" x14ac:dyDescent="0.25">
      <c r="A250" s="243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SheetLayoutView="100" workbookViewId="0">
      <selection activeCell="A2" sqref="A2:E23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1"/>
  </cols>
  <sheetData>
    <row r="1" spans="1:5" ht="18.75" customHeight="1" x14ac:dyDescent="0.3">
      <c r="A1" s="770" t="s">
        <v>0</v>
      </c>
      <c r="B1" s="770"/>
      <c r="C1" s="770"/>
      <c r="D1" s="770"/>
      <c r="E1" s="770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5" t="s">
        <v>122</v>
      </c>
      <c r="D3" s="6"/>
      <c r="E3" s="7"/>
    </row>
    <row r="4" spans="1:5" ht="16.5" customHeight="1" x14ac:dyDescent="0.3">
      <c r="A4" s="8" t="s">
        <v>4</v>
      </c>
      <c r="B4" s="9" t="s">
        <v>128</v>
      </c>
      <c r="C4" s="7"/>
      <c r="D4" s="7"/>
      <c r="E4" s="7"/>
    </row>
    <row r="5" spans="1:5" ht="16.5" customHeight="1" x14ac:dyDescent="0.3">
      <c r="A5" s="8" t="s">
        <v>6</v>
      </c>
      <c r="B5" s="6">
        <v>99.3</v>
      </c>
      <c r="C5" s="7"/>
      <c r="D5" s="7"/>
      <c r="E5" s="7"/>
    </row>
    <row r="6" spans="1:5" ht="16.5" customHeight="1" x14ac:dyDescent="0.3">
      <c r="A6" s="5" t="s">
        <v>7</v>
      </c>
      <c r="B6" s="9">
        <f>EFFAVIRENZ!D43</f>
        <v>30.34</v>
      </c>
      <c r="C6" s="7"/>
      <c r="D6" s="7"/>
      <c r="E6" s="7"/>
    </row>
    <row r="7" spans="1:5" ht="16.5" customHeight="1" x14ac:dyDescent="0.3">
      <c r="A7" s="5" t="s">
        <v>8</v>
      </c>
      <c r="B7" s="10">
        <f>B6/50*10/25</f>
        <v>0.24271999999999999</v>
      </c>
      <c r="C7" s="7"/>
      <c r="D7" s="7"/>
      <c r="E7" s="7"/>
    </row>
    <row r="8" spans="1:5" ht="15.75" customHeight="1" x14ac:dyDescent="0.25">
      <c r="A8" s="7"/>
      <c r="B8" s="11"/>
      <c r="C8" s="7"/>
      <c r="D8" s="7"/>
      <c r="E8" s="7"/>
    </row>
    <row r="9" spans="1:5" ht="16.5" customHeight="1" x14ac:dyDescent="0.3">
      <c r="A9" s="12" t="s">
        <v>10</v>
      </c>
      <c r="B9" s="13" t="s">
        <v>11</v>
      </c>
      <c r="C9" s="12" t="s">
        <v>12</v>
      </c>
      <c r="D9" s="12" t="s">
        <v>13</v>
      </c>
      <c r="E9" s="12" t="s">
        <v>14</v>
      </c>
    </row>
    <row r="10" spans="1:5" ht="16.5" customHeight="1" x14ac:dyDescent="0.3">
      <c r="A10" s="14">
        <v>1</v>
      </c>
      <c r="B10" s="675">
        <v>9157385</v>
      </c>
      <c r="C10" s="675">
        <v>723315.6</v>
      </c>
      <c r="D10" s="676">
        <v>1</v>
      </c>
      <c r="E10" s="677">
        <v>25.3</v>
      </c>
    </row>
    <row r="11" spans="1:5" ht="16.5" customHeight="1" x14ac:dyDescent="0.3">
      <c r="A11" s="14">
        <v>2</v>
      </c>
      <c r="B11" s="675">
        <v>9196243</v>
      </c>
      <c r="C11" s="675">
        <v>726436.6</v>
      </c>
      <c r="D11" s="676">
        <v>1.1000000000000001</v>
      </c>
      <c r="E11" s="676">
        <v>25.3</v>
      </c>
    </row>
    <row r="12" spans="1:5" ht="16.5" customHeight="1" x14ac:dyDescent="0.3">
      <c r="A12" s="14">
        <v>3</v>
      </c>
      <c r="B12" s="675">
        <v>9196531</v>
      </c>
      <c r="C12" s="675">
        <v>725640.7</v>
      </c>
      <c r="D12" s="676">
        <v>1.1000000000000001</v>
      </c>
      <c r="E12" s="676">
        <v>25.3</v>
      </c>
    </row>
    <row r="13" spans="1:5" ht="16.5" customHeight="1" x14ac:dyDescent="0.3">
      <c r="A13" s="14">
        <v>4</v>
      </c>
      <c r="B13" s="675">
        <v>9179594</v>
      </c>
      <c r="C13" s="675">
        <v>726715.4</v>
      </c>
      <c r="D13" s="676">
        <v>1.1000000000000001</v>
      </c>
      <c r="E13" s="676">
        <v>25.3</v>
      </c>
    </row>
    <row r="14" spans="1:5" ht="16.5" customHeight="1" x14ac:dyDescent="0.3">
      <c r="A14" s="14">
        <v>5</v>
      </c>
      <c r="B14" s="675">
        <v>9172725</v>
      </c>
      <c r="C14" s="675">
        <v>730486.4</v>
      </c>
      <c r="D14" s="676">
        <v>1.1000000000000001</v>
      </c>
      <c r="E14" s="676">
        <v>25.3</v>
      </c>
    </row>
    <row r="15" spans="1:5" ht="16.5" customHeight="1" x14ac:dyDescent="0.3">
      <c r="A15" s="14">
        <v>6</v>
      </c>
      <c r="B15" s="678">
        <v>9181934</v>
      </c>
      <c r="C15" s="678">
        <v>726620.6</v>
      </c>
      <c r="D15" s="679">
        <v>1</v>
      </c>
      <c r="E15" s="679">
        <v>25.3</v>
      </c>
    </row>
    <row r="16" spans="1:5" ht="16.5" customHeight="1" x14ac:dyDescent="0.3">
      <c r="A16" s="15" t="s">
        <v>15</v>
      </c>
      <c r="B16" s="16">
        <f>AVERAGE(B10:B15)</f>
        <v>9180735.333333334</v>
      </c>
      <c r="C16" s="17">
        <f>AVERAGE(C10:C15)</f>
        <v>726535.8833333333</v>
      </c>
      <c r="D16" s="18">
        <f>AVERAGE(D10:D15)</f>
        <v>1.0666666666666667</v>
      </c>
      <c r="E16" s="18">
        <f>AVERAGE(E10:E15)</f>
        <v>25.3</v>
      </c>
    </row>
    <row r="17" spans="1:5" ht="16.5" customHeight="1" x14ac:dyDescent="0.3">
      <c r="A17" s="19" t="s">
        <v>16</v>
      </c>
      <c r="B17" s="20">
        <f>(STDEV(B10:B15)/B16)</f>
        <v>1.6171663033001382E-3</v>
      </c>
      <c r="C17" s="21"/>
      <c r="D17" s="21"/>
      <c r="E17" s="22"/>
    </row>
    <row r="18" spans="1:5" s="2" customFormat="1" ht="16.5" customHeight="1" x14ac:dyDescent="0.3">
      <c r="A18" s="23" t="s">
        <v>17</v>
      </c>
      <c r="B18" s="24">
        <f>COUNT(B10:B15)</f>
        <v>6</v>
      </c>
      <c r="C18" s="25"/>
      <c r="D18" s="26"/>
      <c r="E18" s="27"/>
    </row>
    <row r="19" spans="1:5" s="2" customFormat="1" ht="15.75" customHeight="1" x14ac:dyDescent="0.25">
      <c r="A19" s="7"/>
      <c r="B19" s="7"/>
      <c r="C19" s="7"/>
      <c r="D19" s="7"/>
      <c r="E19" s="7"/>
    </row>
    <row r="20" spans="1:5" s="2" customFormat="1" ht="16.5" customHeight="1" x14ac:dyDescent="0.3">
      <c r="A20" s="8" t="s">
        <v>18</v>
      </c>
      <c r="B20" s="28" t="s">
        <v>19</v>
      </c>
      <c r="C20" s="29"/>
      <c r="D20" s="29"/>
      <c r="E20" s="29"/>
    </row>
    <row r="21" spans="1:5" ht="16.5" customHeight="1" x14ac:dyDescent="0.3">
      <c r="A21" s="8"/>
      <c r="B21" s="28" t="s">
        <v>20</v>
      </c>
      <c r="C21" s="29"/>
      <c r="D21" s="29"/>
      <c r="E21" s="29"/>
    </row>
    <row r="22" spans="1:5" ht="16.5" customHeight="1" x14ac:dyDescent="0.3">
      <c r="A22" s="8"/>
      <c r="B22" s="28" t="s">
        <v>21</v>
      </c>
      <c r="C22" s="29"/>
      <c r="D22" s="29"/>
      <c r="E22" s="29"/>
    </row>
    <row r="23" spans="1:5" ht="15.75" customHeight="1" x14ac:dyDescent="0.25">
      <c r="A23" s="7"/>
      <c r="B23" s="7"/>
      <c r="C23" s="7"/>
      <c r="D23" s="7"/>
      <c r="E23" s="7"/>
    </row>
    <row r="24" spans="1:5" ht="16.5" customHeight="1" x14ac:dyDescent="0.3">
      <c r="A24" s="3" t="s">
        <v>1</v>
      </c>
      <c r="B24" s="4" t="s">
        <v>22</v>
      </c>
    </row>
    <row r="25" spans="1:5" ht="16.5" customHeight="1" x14ac:dyDescent="0.3">
      <c r="A25" s="8" t="s">
        <v>4</v>
      </c>
      <c r="B25" s="5" t="s">
        <v>128</v>
      </c>
      <c r="C25" s="7"/>
      <c r="D25" s="7"/>
      <c r="E25" s="7"/>
    </row>
    <row r="26" spans="1:5" ht="16.5" customHeight="1" x14ac:dyDescent="0.3">
      <c r="A26" s="8" t="s">
        <v>6</v>
      </c>
      <c r="B26" s="9">
        <v>99.3</v>
      </c>
      <c r="C26" s="7"/>
      <c r="D26" s="7"/>
      <c r="E26" s="7"/>
    </row>
    <row r="27" spans="1:5" ht="16.5" customHeight="1" x14ac:dyDescent="0.3">
      <c r="A27" s="5" t="s">
        <v>7</v>
      </c>
      <c r="B27" s="9">
        <f>EFFAVIRENZ!D96</f>
        <v>28.66</v>
      </c>
      <c r="C27" s="7"/>
      <c r="D27" s="7"/>
      <c r="E27" s="7"/>
    </row>
    <row r="28" spans="1:5" ht="16.5" customHeight="1" x14ac:dyDescent="0.3">
      <c r="A28" s="5" t="s">
        <v>8</v>
      </c>
      <c r="B28" s="10">
        <f>B27/50</f>
        <v>0.57320000000000004</v>
      </c>
      <c r="C28" s="7"/>
      <c r="D28" s="7"/>
      <c r="E28" s="7"/>
    </row>
    <row r="29" spans="1:5" ht="15.75" customHeight="1" x14ac:dyDescent="0.25">
      <c r="A29" s="7"/>
      <c r="B29" s="7"/>
      <c r="C29" s="7"/>
      <c r="D29" s="7"/>
      <c r="E29" s="7"/>
    </row>
    <row r="30" spans="1:5" ht="16.5" customHeight="1" x14ac:dyDescent="0.3">
      <c r="A30" s="12" t="s">
        <v>10</v>
      </c>
      <c r="B30" s="13" t="s">
        <v>11</v>
      </c>
      <c r="C30" s="12" t="s">
        <v>12</v>
      </c>
      <c r="D30" s="12" t="s">
        <v>13</v>
      </c>
      <c r="E30" s="12" t="s">
        <v>14</v>
      </c>
    </row>
    <row r="31" spans="1:5" ht="16.5" customHeight="1" x14ac:dyDescent="0.3">
      <c r="A31" s="14">
        <v>1</v>
      </c>
      <c r="B31" s="675">
        <v>233009243</v>
      </c>
      <c r="C31" s="675">
        <v>124355.7</v>
      </c>
      <c r="D31" s="676">
        <v>1.0900000000000001</v>
      </c>
      <c r="E31" s="677">
        <v>23.53</v>
      </c>
    </row>
    <row r="32" spans="1:5" ht="16.5" customHeight="1" x14ac:dyDescent="0.3">
      <c r="A32" s="14">
        <v>2</v>
      </c>
      <c r="B32" s="675">
        <v>234241647</v>
      </c>
      <c r="C32" s="675">
        <v>122773.2</v>
      </c>
      <c r="D32" s="676">
        <v>1.1100000000000001</v>
      </c>
      <c r="E32" s="676">
        <v>23.53</v>
      </c>
    </row>
    <row r="33" spans="1:7" ht="16.5" customHeight="1" x14ac:dyDescent="0.3">
      <c r="A33" s="14">
        <v>3</v>
      </c>
      <c r="B33" s="675">
        <v>233972167</v>
      </c>
      <c r="C33" s="675">
        <v>121879.3</v>
      </c>
      <c r="D33" s="676">
        <v>1.1100000000000001</v>
      </c>
      <c r="E33" s="676">
        <v>23.53</v>
      </c>
    </row>
    <row r="34" spans="1:7" ht="16.5" customHeight="1" x14ac:dyDescent="0.3">
      <c r="A34" s="14">
        <v>4</v>
      </c>
      <c r="B34" s="675">
        <v>233994247</v>
      </c>
      <c r="C34" s="675">
        <v>121954.8</v>
      </c>
      <c r="D34" s="676">
        <v>1.1100000000000001</v>
      </c>
      <c r="E34" s="676">
        <v>23.53</v>
      </c>
    </row>
    <row r="35" spans="1:7" ht="16.5" customHeight="1" x14ac:dyDescent="0.3">
      <c r="A35" s="14">
        <v>5</v>
      </c>
      <c r="B35" s="675">
        <v>233880971</v>
      </c>
      <c r="C35" s="675">
        <v>121891.6</v>
      </c>
      <c r="D35" s="676">
        <v>1.0900000000000001</v>
      </c>
      <c r="E35" s="676">
        <v>23.54</v>
      </c>
    </row>
    <row r="36" spans="1:7" ht="16.5" customHeight="1" x14ac:dyDescent="0.3">
      <c r="A36" s="14">
        <v>6</v>
      </c>
      <c r="B36" s="678">
        <v>233868957</v>
      </c>
      <c r="C36" s="678">
        <v>121283.7</v>
      </c>
      <c r="D36" s="679">
        <v>1.0900000000000001</v>
      </c>
      <c r="E36" s="679">
        <v>23.53</v>
      </c>
    </row>
    <row r="37" spans="1:7" ht="16.5" customHeight="1" x14ac:dyDescent="0.3">
      <c r="A37" s="15" t="s">
        <v>15</v>
      </c>
      <c r="B37" s="16">
        <f>AVERAGE(B31:B36)</f>
        <v>233827872</v>
      </c>
      <c r="C37" s="17">
        <f>AVERAGE(C31:C36)</f>
        <v>122356.38333333332</v>
      </c>
      <c r="D37" s="18">
        <f>AVERAGE(D31:D36)</f>
        <v>1.1000000000000001</v>
      </c>
      <c r="E37" s="18">
        <f>AVERAGE(E31:E36)</f>
        <v>23.531666666666666</v>
      </c>
    </row>
    <row r="38" spans="1:7" ht="16.5" customHeight="1" x14ac:dyDescent="0.3">
      <c r="A38" s="19" t="s">
        <v>16</v>
      </c>
      <c r="B38" s="20">
        <f>(STDEV(B31:B36)/B37)</f>
        <v>1.8087473376050725E-3</v>
      </c>
      <c r="C38" s="21"/>
      <c r="D38" s="21"/>
      <c r="E38" s="22"/>
    </row>
    <row r="39" spans="1:7" s="2" customFormat="1" ht="16.5" customHeight="1" x14ac:dyDescent="0.3">
      <c r="A39" s="23" t="s">
        <v>17</v>
      </c>
      <c r="B39" s="24">
        <f>COUNT(B31:B36)</f>
        <v>6</v>
      </c>
      <c r="C39" s="25"/>
      <c r="D39" s="26"/>
      <c r="E39" s="27"/>
    </row>
    <row r="40" spans="1:7" s="2" customFormat="1" ht="15.75" customHeight="1" x14ac:dyDescent="0.25">
      <c r="A40" s="7"/>
      <c r="B40" s="7"/>
      <c r="C40" s="7"/>
      <c r="D40" s="7"/>
      <c r="E40" s="7"/>
    </row>
    <row r="41" spans="1:7" s="2" customFormat="1" ht="16.5" customHeight="1" x14ac:dyDescent="0.3">
      <c r="A41" s="8" t="s">
        <v>18</v>
      </c>
      <c r="B41" s="28" t="s">
        <v>19</v>
      </c>
      <c r="C41" s="29"/>
      <c r="D41" s="29"/>
      <c r="E41" s="29"/>
    </row>
    <row r="42" spans="1:7" ht="16.5" customHeight="1" x14ac:dyDescent="0.3">
      <c r="A42" s="8"/>
      <c r="B42" s="28" t="s">
        <v>20</v>
      </c>
      <c r="C42" s="29"/>
      <c r="D42" s="29"/>
      <c r="E42" s="29"/>
    </row>
    <row r="43" spans="1:7" ht="16.5" customHeight="1" x14ac:dyDescent="0.3">
      <c r="A43" s="8"/>
      <c r="B43" s="28" t="s">
        <v>21</v>
      </c>
      <c r="C43" s="29"/>
      <c r="D43" s="29"/>
      <c r="E43" s="29"/>
    </row>
    <row r="44" spans="1:7" ht="14.25" customHeight="1" thickBot="1" x14ac:dyDescent="0.3">
      <c r="A44" s="30"/>
      <c r="B44" s="31"/>
      <c r="D44" s="32"/>
      <c r="F44" s="1"/>
      <c r="G44" s="1"/>
    </row>
    <row r="45" spans="1:7" ht="15" customHeight="1" x14ac:dyDescent="0.3">
      <c r="B45" s="771" t="s">
        <v>23</v>
      </c>
      <c r="C45" s="771"/>
      <c r="E45" s="38" t="s">
        <v>24</v>
      </c>
      <c r="F45" s="33"/>
      <c r="G45" s="38" t="s">
        <v>25</v>
      </c>
    </row>
    <row r="46" spans="1:7" ht="15" customHeight="1" x14ac:dyDescent="0.3">
      <c r="A46" s="34" t="s">
        <v>26</v>
      </c>
      <c r="B46" s="35"/>
      <c r="C46" s="35"/>
      <c r="E46" s="35"/>
      <c r="G46" s="35"/>
    </row>
    <row r="47" spans="1:7" ht="15" customHeight="1" x14ac:dyDescent="0.3">
      <c r="A47" s="34" t="s">
        <v>27</v>
      </c>
      <c r="B47" s="36"/>
      <c r="C47" s="36"/>
      <c r="E47" s="36"/>
      <c r="G47" s="3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105" zoomScale="85" zoomScaleNormal="60" zoomScaleSheetLayoutView="85" zoomScalePageLayoutView="42" workbookViewId="0">
      <selection activeCell="D113" sqref="D113"/>
    </sheetView>
  </sheetViews>
  <sheetFormatPr defaultColWidth="9.140625" defaultRowHeight="13.5" x14ac:dyDescent="0.25"/>
  <cols>
    <col min="1" max="1" width="55.42578125" style="409" customWidth="1"/>
    <col min="2" max="2" width="33.7109375" style="409" customWidth="1"/>
    <col min="3" max="3" width="42.28515625" style="409" customWidth="1"/>
    <col min="4" max="4" width="30.5703125" style="409" customWidth="1"/>
    <col min="5" max="5" width="39.85546875" style="409" customWidth="1"/>
    <col min="6" max="6" width="30.7109375" style="409" customWidth="1"/>
    <col min="7" max="7" width="39.85546875" style="409" customWidth="1"/>
    <col min="8" max="8" width="30" style="409" customWidth="1"/>
    <col min="9" max="9" width="30.28515625" style="409" hidden="1" customWidth="1"/>
    <col min="10" max="10" width="30.42578125" style="409" customWidth="1"/>
    <col min="11" max="11" width="21.28515625" style="409" customWidth="1"/>
    <col min="12" max="12" width="9.140625" style="409"/>
    <col min="13" max="16384" width="9.140625" style="411"/>
  </cols>
  <sheetData>
    <row r="1" spans="1:9" ht="18.75" customHeight="1" x14ac:dyDescent="0.25">
      <c r="A1" s="775" t="s">
        <v>42</v>
      </c>
      <c r="B1" s="775"/>
      <c r="C1" s="775"/>
      <c r="D1" s="775"/>
      <c r="E1" s="775"/>
      <c r="F1" s="775"/>
      <c r="G1" s="775"/>
      <c r="H1" s="775"/>
      <c r="I1" s="775"/>
    </row>
    <row r="2" spans="1:9" ht="18.75" customHeight="1" x14ac:dyDescent="0.25">
      <c r="A2" s="775"/>
      <c r="B2" s="775"/>
      <c r="C2" s="775"/>
      <c r="D2" s="775"/>
      <c r="E2" s="775"/>
      <c r="F2" s="775"/>
      <c r="G2" s="775"/>
      <c r="H2" s="775"/>
      <c r="I2" s="775"/>
    </row>
    <row r="3" spans="1:9" ht="18.75" customHeight="1" x14ac:dyDescent="0.25">
      <c r="A3" s="775"/>
      <c r="B3" s="775"/>
      <c r="C3" s="775"/>
      <c r="D3" s="775"/>
      <c r="E3" s="775"/>
      <c r="F3" s="775"/>
      <c r="G3" s="775"/>
      <c r="H3" s="775"/>
      <c r="I3" s="775"/>
    </row>
    <row r="4" spans="1:9" ht="18.75" customHeight="1" x14ac:dyDescent="0.25">
      <c r="A4" s="775"/>
      <c r="B4" s="775"/>
      <c r="C4" s="775"/>
      <c r="D4" s="775"/>
      <c r="E4" s="775"/>
      <c r="F4" s="775"/>
      <c r="G4" s="775"/>
      <c r="H4" s="775"/>
      <c r="I4" s="775"/>
    </row>
    <row r="5" spans="1:9" ht="18.75" customHeight="1" x14ac:dyDescent="0.25">
      <c r="A5" s="775"/>
      <c r="B5" s="775"/>
      <c r="C5" s="775"/>
      <c r="D5" s="775"/>
      <c r="E5" s="775"/>
      <c r="F5" s="775"/>
      <c r="G5" s="775"/>
      <c r="H5" s="775"/>
      <c r="I5" s="775"/>
    </row>
    <row r="6" spans="1:9" ht="18.75" customHeight="1" x14ac:dyDescent="0.25">
      <c r="A6" s="775"/>
      <c r="B6" s="775"/>
      <c r="C6" s="775"/>
      <c r="D6" s="775"/>
      <c r="E6" s="775"/>
      <c r="F6" s="775"/>
      <c r="G6" s="775"/>
      <c r="H6" s="775"/>
      <c r="I6" s="775"/>
    </row>
    <row r="7" spans="1:9" ht="18.75" customHeight="1" x14ac:dyDescent="0.25">
      <c r="A7" s="775"/>
      <c r="B7" s="775"/>
      <c r="C7" s="775"/>
      <c r="D7" s="775"/>
      <c r="E7" s="775"/>
      <c r="F7" s="775"/>
      <c r="G7" s="775"/>
      <c r="H7" s="775"/>
      <c r="I7" s="775"/>
    </row>
    <row r="8" spans="1:9" x14ac:dyDescent="0.25">
      <c r="A8" s="776" t="s">
        <v>43</v>
      </c>
      <c r="B8" s="776"/>
      <c r="C8" s="776"/>
      <c r="D8" s="776"/>
      <c r="E8" s="776"/>
      <c r="F8" s="776"/>
      <c r="G8" s="776"/>
      <c r="H8" s="776"/>
      <c r="I8" s="776"/>
    </row>
    <row r="9" spans="1:9" x14ac:dyDescent="0.25">
      <c r="A9" s="776"/>
      <c r="B9" s="776"/>
      <c r="C9" s="776"/>
      <c r="D9" s="776"/>
      <c r="E9" s="776"/>
      <c r="F9" s="776"/>
      <c r="G9" s="776"/>
      <c r="H9" s="776"/>
      <c r="I9" s="776"/>
    </row>
    <row r="10" spans="1:9" x14ac:dyDescent="0.25">
      <c r="A10" s="776"/>
      <c r="B10" s="776"/>
      <c r="C10" s="776"/>
      <c r="D10" s="776"/>
      <c r="E10" s="776"/>
      <c r="F10" s="776"/>
      <c r="G10" s="776"/>
      <c r="H10" s="776"/>
      <c r="I10" s="776"/>
    </row>
    <row r="11" spans="1:9" x14ac:dyDescent="0.25">
      <c r="A11" s="776"/>
      <c r="B11" s="776"/>
      <c r="C11" s="776"/>
      <c r="D11" s="776"/>
      <c r="E11" s="776"/>
      <c r="F11" s="776"/>
      <c r="G11" s="776"/>
      <c r="H11" s="776"/>
      <c r="I11" s="776"/>
    </row>
    <row r="12" spans="1:9" x14ac:dyDescent="0.25">
      <c r="A12" s="776"/>
      <c r="B12" s="776"/>
      <c r="C12" s="776"/>
      <c r="D12" s="776"/>
      <c r="E12" s="776"/>
      <c r="F12" s="776"/>
      <c r="G12" s="776"/>
      <c r="H12" s="776"/>
      <c r="I12" s="776"/>
    </row>
    <row r="13" spans="1:9" x14ac:dyDescent="0.25">
      <c r="A13" s="776"/>
      <c r="B13" s="776"/>
      <c r="C13" s="776"/>
      <c r="D13" s="776"/>
      <c r="E13" s="776"/>
      <c r="F13" s="776"/>
      <c r="G13" s="776"/>
      <c r="H13" s="776"/>
      <c r="I13" s="776"/>
    </row>
    <row r="14" spans="1:9" x14ac:dyDescent="0.25">
      <c r="A14" s="776"/>
      <c r="B14" s="776"/>
      <c r="C14" s="776"/>
      <c r="D14" s="776"/>
      <c r="E14" s="776"/>
      <c r="F14" s="776"/>
      <c r="G14" s="776"/>
      <c r="H14" s="776"/>
      <c r="I14" s="776"/>
    </row>
    <row r="15" spans="1:9" ht="19.5" customHeight="1" thickBot="1" x14ac:dyDescent="0.35">
      <c r="A15" s="410"/>
    </row>
    <row r="16" spans="1:9" ht="19.5" customHeight="1" thickBot="1" x14ac:dyDescent="0.35">
      <c r="A16" s="777" t="s">
        <v>28</v>
      </c>
      <c r="B16" s="778"/>
      <c r="C16" s="778"/>
      <c r="D16" s="778"/>
      <c r="E16" s="778"/>
      <c r="F16" s="778"/>
      <c r="G16" s="778"/>
      <c r="H16" s="779"/>
    </row>
    <row r="17" spans="1:14" ht="20.25" customHeight="1" x14ac:dyDescent="0.25">
      <c r="A17" s="780" t="s">
        <v>44</v>
      </c>
      <c r="B17" s="780"/>
      <c r="C17" s="780"/>
      <c r="D17" s="780"/>
      <c r="E17" s="780"/>
      <c r="F17" s="780"/>
      <c r="G17" s="780"/>
      <c r="H17" s="780"/>
    </row>
    <row r="18" spans="1:14" ht="26.25" customHeight="1" x14ac:dyDescent="0.4">
      <c r="A18" s="412" t="s">
        <v>30</v>
      </c>
      <c r="B18" s="781" t="s">
        <v>122</v>
      </c>
      <c r="C18" s="781"/>
      <c r="D18" s="413"/>
      <c r="E18" s="414"/>
      <c r="F18" s="415"/>
      <c r="G18" s="415"/>
      <c r="H18" s="415"/>
    </row>
    <row r="19" spans="1:14" ht="26.25" customHeight="1" x14ac:dyDescent="0.4">
      <c r="A19" s="412" t="s">
        <v>31</v>
      </c>
      <c r="B19" s="416" t="str">
        <f>'Tenofovir Disoproxil Fumarate'!B19</f>
        <v>NDQB201607043</v>
      </c>
      <c r="C19" s="415">
        <v>29</v>
      </c>
      <c r="D19" s="415"/>
      <c r="E19" s="415"/>
      <c r="F19" s="415"/>
      <c r="G19" s="415"/>
      <c r="H19" s="415"/>
    </row>
    <row r="20" spans="1:14" ht="26.25" customHeight="1" x14ac:dyDescent="0.4">
      <c r="A20" s="412" t="s">
        <v>32</v>
      </c>
      <c r="B20" s="782" t="s">
        <v>123</v>
      </c>
      <c r="C20" s="782"/>
      <c r="D20" s="415"/>
      <c r="E20" s="415"/>
      <c r="F20" s="415"/>
      <c r="G20" s="415"/>
      <c r="H20" s="415"/>
    </row>
    <row r="21" spans="1:14" ht="26.25" customHeight="1" x14ac:dyDescent="0.4">
      <c r="A21" s="412" t="s">
        <v>33</v>
      </c>
      <c r="B21" s="782" t="s">
        <v>9</v>
      </c>
      <c r="C21" s="782"/>
      <c r="D21" s="782"/>
      <c r="E21" s="782"/>
      <c r="F21" s="782"/>
      <c r="G21" s="782"/>
      <c r="H21" s="782"/>
      <c r="I21" s="417"/>
    </row>
    <row r="22" spans="1:14" ht="26.25" customHeight="1" x14ac:dyDescent="0.4">
      <c r="A22" s="412" t="s">
        <v>34</v>
      </c>
      <c r="B22" s="418">
        <f>'Tenofovir Disoproxil Fumarate'!B22</f>
        <v>42590</v>
      </c>
      <c r="C22" s="415"/>
      <c r="D22" s="415"/>
      <c r="E22" s="415"/>
      <c r="F22" s="415"/>
      <c r="G22" s="415"/>
      <c r="H22" s="415"/>
    </row>
    <row r="23" spans="1:14" ht="26.25" customHeight="1" x14ac:dyDescent="0.4">
      <c r="A23" s="412" t="s">
        <v>35</v>
      </c>
      <c r="B23" s="418">
        <f>'Tenofovir Disoproxil Fumarate'!B23</f>
        <v>42643</v>
      </c>
      <c r="C23" s="415"/>
      <c r="D23" s="415"/>
      <c r="E23" s="415"/>
      <c r="F23" s="415"/>
      <c r="G23" s="415"/>
      <c r="H23" s="415"/>
    </row>
    <row r="24" spans="1:14" ht="18.75" x14ac:dyDescent="0.3">
      <c r="A24" s="412"/>
      <c r="B24" s="419"/>
    </row>
    <row r="25" spans="1:14" ht="18.75" x14ac:dyDescent="0.3">
      <c r="A25" s="420" t="s">
        <v>1</v>
      </c>
      <c r="B25" s="419"/>
    </row>
    <row r="26" spans="1:14" ht="26.25" customHeight="1" x14ac:dyDescent="0.4">
      <c r="A26" s="421" t="s">
        <v>4</v>
      </c>
      <c r="B26" s="781" t="s">
        <v>127</v>
      </c>
      <c r="C26" s="781"/>
    </row>
    <row r="27" spans="1:14" ht="26.25" customHeight="1" x14ac:dyDescent="0.4">
      <c r="A27" s="422" t="s">
        <v>45</v>
      </c>
      <c r="B27" s="783" t="s">
        <v>131</v>
      </c>
      <c r="C27" s="783"/>
    </row>
    <row r="28" spans="1:14" ht="27" customHeight="1" thickBot="1" x14ac:dyDescent="0.45">
      <c r="A28" s="422" t="s">
        <v>6</v>
      </c>
      <c r="B28" s="423">
        <v>99.3</v>
      </c>
    </row>
    <row r="29" spans="1:14" s="425" customFormat="1" ht="27" customHeight="1" thickBot="1" x14ac:dyDescent="0.45">
      <c r="A29" s="422" t="s">
        <v>46</v>
      </c>
      <c r="B29" s="424">
        <v>0</v>
      </c>
      <c r="C29" s="784" t="s">
        <v>47</v>
      </c>
      <c r="D29" s="785"/>
      <c r="E29" s="785"/>
      <c r="F29" s="785"/>
      <c r="G29" s="786"/>
      <c r="I29" s="426"/>
      <c r="J29" s="426"/>
      <c r="K29" s="426"/>
      <c r="L29" s="426"/>
    </row>
    <row r="30" spans="1:14" s="425" customFormat="1" ht="19.5" customHeight="1" thickBot="1" x14ac:dyDescent="0.35">
      <c r="A30" s="422" t="s">
        <v>48</v>
      </c>
      <c r="B30" s="427">
        <f>B28-B29</f>
        <v>99.3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425" customFormat="1" ht="27" customHeight="1" thickBot="1" x14ac:dyDescent="0.45">
      <c r="A31" s="422" t="s">
        <v>49</v>
      </c>
      <c r="B31" s="430">
        <v>1</v>
      </c>
      <c r="C31" s="772" t="s">
        <v>50</v>
      </c>
      <c r="D31" s="773"/>
      <c r="E31" s="773"/>
      <c r="F31" s="773"/>
      <c r="G31" s="773"/>
      <c r="H31" s="774"/>
      <c r="I31" s="426"/>
      <c r="J31" s="426"/>
      <c r="K31" s="426"/>
      <c r="L31" s="426"/>
    </row>
    <row r="32" spans="1:14" s="425" customFormat="1" ht="27" customHeight="1" thickBot="1" x14ac:dyDescent="0.45">
      <c r="A32" s="422" t="s">
        <v>51</v>
      </c>
      <c r="B32" s="430">
        <v>1</v>
      </c>
      <c r="C32" s="772" t="s">
        <v>52</v>
      </c>
      <c r="D32" s="773"/>
      <c r="E32" s="773"/>
      <c r="F32" s="773"/>
      <c r="G32" s="773"/>
      <c r="H32" s="774"/>
      <c r="I32" s="426"/>
      <c r="J32" s="426"/>
      <c r="K32" s="426"/>
      <c r="L32" s="431"/>
      <c r="M32" s="431"/>
      <c r="N32" s="432"/>
    </row>
    <row r="33" spans="1:14" s="425" customFormat="1" ht="17.25" customHeight="1" x14ac:dyDescent="0.3">
      <c r="A33" s="422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425" customFormat="1" ht="18.75" x14ac:dyDescent="0.3">
      <c r="A34" s="422" t="s">
        <v>53</v>
      </c>
      <c r="B34" s="435">
        <f>B31/B32</f>
        <v>1</v>
      </c>
      <c r="C34" s="410" t="s">
        <v>54</v>
      </c>
      <c r="D34" s="410"/>
      <c r="E34" s="410"/>
      <c r="F34" s="410"/>
      <c r="G34" s="410"/>
      <c r="I34" s="426"/>
      <c r="J34" s="426"/>
      <c r="K34" s="426"/>
      <c r="L34" s="431"/>
      <c r="M34" s="431"/>
      <c r="N34" s="432"/>
    </row>
    <row r="35" spans="1:14" s="425" customFormat="1" ht="19.5" customHeight="1" thickBot="1" x14ac:dyDescent="0.35">
      <c r="A35" s="422"/>
      <c r="B35" s="427"/>
      <c r="G35" s="410"/>
      <c r="I35" s="426"/>
      <c r="J35" s="426"/>
      <c r="K35" s="426"/>
      <c r="L35" s="431"/>
      <c r="M35" s="431"/>
      <c r="N35" s="432"/>
    </row>
    <row r="36" spans="1:14" s="425" customFormat="1" ht="27" customHeight="1" thickBot="1" x14ac:dyDescent="0.45">
      <c r="A36" s="436" t="s">
        <v>55</v>
      </c>
      <c r="B36" s="437">
        <v>50</v>
      </c>
      <c r="C36" s="410"/>
      <c r="D36" s="787" t="s">
        <v>56</v>
      </c>
      <c r="E36" s="788"/>
      <c r="F36" s="787" t="s">
        <v>57</v>
      </c>
      <c r="G36" s="789"/>
      <c r="J36" s="426"/>
      <c r="K36" s="426"/>
      <c r="L36" s="431"/>
      <c r="M36" s="431"/>
      <c r="N36" s="432"/>
    </row>
    <row r="37" spans="1:14" s="425" customFormat="1" ht="27" customHeight="1" thickBot="1" x14ac:dyDescent="0.45">
      <c r="A37" s="438" t="s">
        <v>58</v>
      </c>
      <c r="B37" s="439">
        <v>10</v>
      </c>
      <c r="C37" s="440" t="s">
        <v>59</v>
      </c>
      <c r="D37" s="441" t="s">
        <v>60</v>
      </c>
      <c r="E37" s="442" t="s">
        <v>61</v>
      </c>
      <c r="F37" s="441" t="s">
        <v>60</v>
      </c>
      <c r="G37" s="443" t="s">
        <v>61</v>
      </c>
      <c r="I37" s="444" t="s">
        <v>62</v>
      </c>
      <c r="J37" s="426"/>
      <c r="K37" s="426"/>
      <c r="L37" s="431"/>
      <c r="M37" s="431"/>
      <c r="N37" s="432"/>
    </row>
    <row r="38" spans="1:14" s="425" customFormat="1" ht="26.25" customHeight="1" x14ac:dyDescent="0.4">
      <c r="A38" s="438" t="s">
        <v>63</v>
      </c>
      <c r="B38" s="439">
        <v>25</v>
      </c>
      <c r="C38" s="445">
        <v>1</v>
      </c>
      <c r="D38" s="446">
        <v>9216286</v>
      </c>
      <c r="E38" s="447">
        <f>IF(ISBLANK(D38),"-",$D$48/$D$45*D38)</f>
        <v>9177245.9955349956</v>
      </c>
      <c r="F38" s="446">
        <v>9549016</v>
      </c>
      <c r="G38" s="448">
        <f>IF(ISBLANK(F38),"-",$D$48/$F$45*F38)</f>
        <v>9109248.7958812397</v>
      </c>
      <c r="I38" s="449"/>
      <c r="J38" s="426"/>
      <c r="K38" s="426"/>
      <c r="L38" s="431"/>
      <c r="M38" s="431"/>
      <c r="N38" s="432"/>
    </row>
    <row r="39" spans="1:14" s="425" customFormat="1" ht="26.25" customHeight="1" x14ac:dyDescent="0.4">
      <c r="A39" s="438" t="s">
        <v>64</v>
      </c>
      <c r="B39" s="439">
        <v>1</v>
      </c>
      <c r="C39" s="450">
        <v>2</v>
      </c>
      <c r="D39" s="451">
        <v>9180087</v>
      </c>
      <c r="E39" s="452">
        <f>IF(ISBLANK(D39),"-",$D$48/$D$45*D39)</f>
        <v>9141200.3337801006</v>
      </c>
      <c r="F39" s="451">
        <v>9527666</v>
      </c>
      <c r="G39" s="453">
        <f>IF(ISBLANK(F39),"-",$D$48/$F$45*F39)</f>
        <v>9088882.041674098</v>
      </c>
      <c r="I39" s="790">
        <f>ABS((F43/D43*D42)-F42)/D42</f>
        <v>6.8804861843619249E-3</v>
      </c>
      <c r="J39" s="426"/>
      <c r="K39" s="426"/>
      <c r="L39" s="431"/>
      <c r="M39" s="431"/>
      <c r="N39" s="432"/>
    </row>
    <row r="40" spans="1:14" ht="26.25" customHeight="1" x14ac:dyDescent="0.4">
      <c r="A40" s="438" t="s">
        <v>65</v>
      </c>
      <c r="B40" s="439">
        <v>1</v>
      </c>
      <c r="C40" s="450">
        <v>3</v>
      </c>
      <c r="D40" s="451">
        <v>9169329</v>
      </c>
      <c r="E40" s="452">
        <f>IF(ISBLANK(D40),"-",$D$48/$D$45*D40)</f>
        <v>9130487.9044544511</v>
      </c>
      <c r="F40" s="451">
        <v>9507739</v>
      </c>
      <c r="G40" s="453">
        <f>IF(ISBLANK(F40),"-",$D$48/$F$45*F40)</f>
        <v>9069872.7530986555</v>
      </c>
      <c r="I40" s="790"/>
      <c r="L40" s="431"/>
      <c r="M40" s="431"/>
      <c r="N40" s="410"/>
    </row>
    <row r="41" spans="1:14" ht="27" customHeight="1" thickBot="1" x14ac:dyDescent="0.45">
      <c r="A41" s="438" t="s">
        <v>66</v>
      </c>
      <c r="B41" s="439">
        <v>1</v>
      </c>
      <c r="C41" s="454">
        <v>4</v>
      </c>
      <c r="D41" s="455"/>
      <c r="E41" s="456" t="str">
        <f>IF(ISBLANK(D41),"-",$D$48/$D$45*D41)</f>
        <v>-</v>
      </c>
      <c r="F41" s="455"/>
      <c r="G41" s="457" t="str">
        <f>IF(ISBLANK(F41),"-",$D$48/$F$45*F41)</f>
        <v>-</v>
      </c>
      <c r="I41" s="458"/>
      <c r="L41" s="431"/>
      <c r="M41" s="431"/>
      <c r="N41" s="410"/>
    </row>
    <row r="42" spans="1:14" ht="27" customHeight="1" thickBot="1" x14ac:dyDescent="0.45">
      <c r="A42" s="438" t="s">
        <v>67</v>
      </c>
      <c r="B42" s="439">
        <v>1</v>
      </c>
      <c r="C42" s="459" t="s">
        <v>68</v>
      </c>
      <c r="D42" s="460">
        <f>AVERAGE(D38:D41)</f>
        <v>9188567.333333334</v>
      </c>
      <c r="E42" s="461">
        <f>AVERAGE(E38:E41)</f>
        <v>9149644.7445898484</v>
      </c>
      <c r="F42" s="460">
        <f>AVERAGE(F38:F41)</f>
        <v>9528140.333333334</v>
      </c>
      <c r="G42" s="462">
        <f>AVERAGE(G38:G41)</f>
        <v>9089334.5302179977</v>
      </c>
      <c r="H42" s="463"/>
    </row>
    <row r="43" spans="1:14" ht="26.25" customHeight="1" x14ac:dyDescent="0.4">
      <c r="A43" s="438" t="s">
        <v>69</v>
      </c>
      <c r="B43" s="439">
        <v>1</v>
      </c>
      <c r="C43" s="464" t="s">
        <v>70</v>
      </c>
      <c r="D43" s="465">
        <v>30.34</v>
      </c>
      <c r="E43" s="410"/>
      <c r="F43" s="465">
        <v>31.67</v>
      </c>
      <c r="H43" s="463"/>
    </row>
    <row r="44" spans="1:14" ht="26.25" customHeight="1" x14ac:dyDescent="0.4">
      <c r="A44" s="438" t="s">
        <v>71</v>
      </c>
      <c r="B44" s="439">
        <v>1</v>
      </c>
      <c r="C44" s="466" t="s">
        <v>72</v>
      </c>
      <c r="D44" s="467">
        <f>D43*$B$34</f>
        <v>30.34</v>
      </c>
      <c r="E44" s="468"/>
      <c r="F44" s="467">
        <f>F43*$B$34</f>
        <v>31.67</v>
      </c>
      <c r="H44" s="463"/>
    </row>
    <row r="45" spans="1:14" ht="19.5" customHeight="1" thickBot="1" x14ac:dyDescent="0.35">
      <c r="A45" s="438" t="s">
        <v>73</v>
      </c>
      <c r="B45" s="450">
        <f>(B44/B43)*(B42/B41)*(B40/B39)*(B38/B37)*B36</f>
        <v>125</v>
      </c>
      <c r="C45" s="466" t="s">
        <v>74</v>
      </c>
      <c r="D45" s="469">
        <f>D44*$B$30/100</f>
        <v>30.127619999999997</v>
      </c>
      <c r="E45" s="470"/>
      <c r="F45" s="469">
        <f>F44*$B$30/100</f>
        <v>31.448310000000003</v>
      </c>
      <c r="H45" s="463"/>
    </row>
    <row r="46" spans="1:14" ht="19.5" customHeight="1" thickBot="1" x14ac:dyDescent="0.35">
      <c r="A46" s="791" t="s">
        <v>75</v>
      </c>
      <c r="B46" s="792"/>
      <c r="C46" s="466" t="s">
        <v>76</v>
      </c>
      <c r="D46" s="471">
        <f>D45/$B$45</f>
        <v>0.24102095999999998</v>
      </c>
      <c r="E46" s="472"/>
      <c r="F46" s="473">
        <f>F45/$B$45</f>
        <v>0.25158648</v>
      </c>
      <c r="H46" s="463"/>
    </row>
    <row r="47" spans="1:14" ht="27" customHeight="1" thickBot="1" x14ac:dyDescent="0.45">
      <c r="A47" s="793"/>
      <c r="B47" s="794"/>
      <c r="C47" s="474" t="s">
        <v>77</v>
      </c>
      <c r="D47" s="475">
        <v>0.24</v>
      </c>
      <c r="E47" s="476"/>
      <c r="F47" s="472"/>
      <c r="H47" s="463"/>
    </row>
    <row r="48" spans="1:14" ht="18.75" x14ac:dyDescent="0.3">
      <c r="C48" s="477" t="s">
        <v>78</v>
      </c>
      <c r="D48" s="469">
        <f>D47*$B$45</f>
        <v>30</v>
      </c>
      <c r="F48" s="478"/>
      <c r="H48" s="463"/>
    </row>
    <row r="49" spans="1:12" ht="19.5" customHeight="1" thickBot="1" x14ac:dyDescent="0.35">
      <c r="C49" s="479" t="s">
        <v>79</v>
      </c>
      <c r="D49" s="480">
        <f>D48/B34</f>
        <v>30</v>
      </c>
      <c r="F49" s="478"/>
      <c r="H49" s="463"/>
    </row>
    <row r="50" spans="1:12" ht="18.75" x14ac:dyDescent="0.3">
      <c r="C50" s="436" t="s">
        <v>80</v>
      </c>
      <c r="D50" s="481">
        <f>AVERAGE(E38:E41,G38:G41)</f>
        <v>9119489.6374039222</v>
      </c>
      <c r="F50" s="482"/>
      <c r="H50" s="463"/>
    </row>
    <row r="51" spans="1:12" ht="18.75" x14ac:dyDescent="0.3">
      <c r="C51" s="438" t="s">
        <v>81</v>
      </c>
      <c r="D51" s="483">
        <f>STDEV(E38:E41,G38:G41)/D50</f>
        <v>4.2275332449176351E-3</v>
      </c>
      <c r="F51" s="482"/>
      <c r="H51" s="463"/>
    </row>
    <row r="52" spans="1:12" ht="19.5" customHeight="1" thickBot="1" x14ac:dyDescent="0.35">
      <c r="C52" s="484" t="s">
        <v>17</v>
      </c>
      <c r="D52" s="485">
        <f>COUNT(E38:E41,G38:G41)</f>
        <v>6</v>
      </c>
      <c r="F52" s="482"/>
    </row>
    <row r="54" spans="1:12" ht="18.75" x14ac:dyDescent="0.3">
      <c r="A54" s="486" t="s">
        <v>1</v>
      </c>
      <c r="B54" s="487" t="s">
        <v>82</v>
      </c>
    </row>
    <row r="55" spans="1:12" ht="18.75" x14ac:dyDescent="0.3">
      <c r="A55" s="410" t="s">
        <v>83</v>
      </c>
      <c r="B55" s="488" t="str">
        <f>B21</f>
        <v>Tenofovir Disoproxil Fumarate 300mg, Lamivudine 300mg, Efavirenz 600mg</v>
      </c>
    </row>
    <row r="56" spans="1:12" ht="26.25" customHeight="1" x14ac:dyDescent="0.4">
      <c r="A56" s="488" t="s">
        <v>84</v>
      </c>
      <c r="B56" s="489">
        <v>600</v>
      </c>
      <c r="C56" s="410" t="str">
        <f>B20</f>
        <v xml:space="preserve">Tenofovir Disoproxil Fumarate 300mg, Lamivudine 300mg &amp; Efavirenz 600mg </v>
      </c>
      <c r="H56" s="468"/>
    </row>
    <row r="57" spans="1:12" ht="18.75" x14ac:dyDescent="0.3">
      <c r="A57" s="488" t="s">
        <v>85</v>
      </c>
      <c r="B57" s="490">
        <f>'Tenofovir Disoproxil Fumarate'!B57</f>
        <v>1890.5280000000002</v>
      </c>
      <c r="H57" s="468"/>
    </row>
    <row r="58" spans="1:12" ht="19.5" customHeight="1" thickBot="1" x14ac:dyDescent="0.35">
      <c r="H58" s="468"/>
    </row>
    <row r="59" spans="1:12" s="425" customFormat="1" ht="27" customHeight="1" thickBot="1" x14ac:dyDescent="0.45">
      <c r="A59" s="436" t="s">
        <v>86</v>
      </c>
      <c r="B59" s="437">
        <v>250</v>
      </c>
      <c r="C59" s="410"/>
      <c r="D59" s="491" t="s">
        <v>87</v>
      </c>
      <c r="E59" s="492" t="s">
        <v>59</v>
      </c>
      <c r="F59" s="492" t="s">
        <v>60</v>
      </c>
      <c r="G59" s="492" t="s">
        <v>88</v>
      </c>
      <c r="H59" s="440" t="s">
        <v>89</v>
      </c>
      <c r="L59" s="426"/>
    </row>
    <row r="60" spans="1:12" s="425" customFormat="1" ht="26.25" customHeight="1" x14ac:dyDescent="0.4">
      <c r="A60" s="438" t="s">
        <v>90</v>
      </c>
      <c r="B60" s="439">
        <v>3</v>
      </c>
      <c r="C60" s="795" t="s">
        <v>91</v>
      </c>
      <c r="D60" s="798">
        <f>Lamivudine!D60</f>
        <v>1885.26</v>
      </c>
      <c r="E60" s="493">
        <v>1</v>
      </c>
      <c r="F60" s="494">
        <v>10153259</v>
      </c>
      <c r="G60" s="495">
        <f>IF(ISBLANK(F60),"-",(F60/$D$50*$D$47*$B$68)*($B$57/$D$60))</f>
        <v>558.23465749153627</v>
      </c>
      <c r="H60" s="496">
        <f t="shared" ref="H60:H71" si="0">IF(ISBLANK(F60),"-",G60/$B$56)</f>
        <v>0.93039109581922708</v>
      </c>
      <c r="L60" s="426"/>
    </row>
    <row r="61" spans="1:12" s="425" customFormat="1" ht="26.25" customHeight="1" x14ac:dyDescent="0.4">
      <c r="A61" s="438" t="s">
        <v>92</v>
      </c>
      <c r="B61" s="439">
        <v>25</v>
      </c>
      <c r="C61" s="796"/>
      <c r="D61" s="799"/>
      <c r="E61" s="497">
        <v>2</v>
      </c>
      <c r="F61" s="451">
        <v>10120245</v>
      </c>
      <c r="G61" s="498">
        <f>IF(ISBLANK(F61),"-",(F61/$D$50*$D$47*$B$68)*($B$57/$D$60))</f>
        <v>556.41952020582085</v>
      </c>
      <c r="H61" s="499">
        <f t="shared" si="0"/>
        <v>0.92736586700970136</v>
      </c>
      <c r="L61" s="426"/>
    </row>
    <row r="62" spans="1:12" s="425" customFormat="1" ht="26.25" customHeight="1" x14ac:dyDescent="0.4">
      <c r="A62" s="438" t="s">
        <v>93</v>
      </c>
      <c r="B62" s="439">
        <v>1</v>
      </c>
      <c r="C62" s="796"/>
      <c r="D62" s="799"/>
      <c r="E62" s="497">
        <v>3</v>
      </c>
      <c r="F62" s="500">
        <v>10161228</v>
      </c>
      <c r="G62" s="498">
        <f>IF(ISBLANK(F62),"-",(F62/$D$50*$D$47*$B$68)*($B$57/$D$60))</f>
        <v>558.67279976541613</v>
      </c>
      <c r="H62" s="499">
        <f t="shared" si="0"/>
        <v>0.93112133294236021</v>
      </c>
      <c r="L62" s="426"/>
    </row>
    <row r="63" spans="1:12" ht="27" customHeight="1" thickBot="1" x14ac:dyDescent="0.45">
      <c r="A63" s="438" t="s">
        <v>94</v>
      </c>
      <c r="B63" s="439">
        <v>1</v>
      </c>
      <c r="C63" s="797"/>
      <c r="D63" s="800"/>
      <c r="E63" s="501">
        <v>4</v>
      </c>
      <c r="F63" s="502"/>
      <c r="G63" s="498" t="str">
        <f>IF(ISBLANK(F63),"-",(F63/$D$50*$D$47*$B$68)*($B$57/$D$60))</f>
        <v>-</v>
      </c>
      <c r="H63" s="499" t="str">
        <f t="shared" si="0"/>
        <v>-</v>
      </c>
    </row>
    <row r="64" spans="1:12" ht="26.25" customHeight="1" x14ac:dyDescent="0.4">
      <c r="A64" s="438" t="s">
        <v>95</v>
      </c>
      <c r="B64" s="439">
        <v>1</v>
      </c>
      <c r="C64" s="795" t="s">
        <v>96</v>
      </c>
      <c r="D64" s="798">
        <f>Lamivudine!D64</f>
        <v>1899.38</v>
      </c>
      <c r="E64" s="493">
        <v>1</v>
      </c>
      <c r="F64" s="494">
        <v>10133202</v>
      </c>
      <c r="G64" s="503">
        <f>IF(ISBLANK(F64),"-",(F64/$D$50*$D$47*$B$68)*($B$57/$D$64))</f>
        <v>552.99018562538049</v>
      </c>
      <c r="H64" s="504">
        <f t="shared" si="0"/>
        <v>0.92165030937563419</v>
      </c>
    </row>
    <row r="65" spans="1:8" ht="26.25" customHeight="1" x14ac:dyDescent="0.4">
      <c r="A65" s="438" t="s">
        <v>97</v>
      </c>
      <c r="B65" s="439">
        <v>1</v>
      </c>
      <c r="C65" s="796"/>
      <c r="D65" s="799"/>
      <c r="E65" s="497">
        <v>2</v>
      </c>
      <c r="F65" s="451">
        <v>10139361</v>
      </c>
      <c r="G65" s="505">
        <f>IF(ISBLANK(F65),"-",(F65/$D$50*$D$47*$B$68)*($B$57/$D$64))</f>
        <v>553.32629523350511</v>
      </c>
      <c r="H65" s="506">
        <f t="shared" si="0"/>
        <v>0.92221049205584182</v>
      </c>
    </row>
    <row r="66" spans="1:8" ht="26.25" customHeight="1" x14ac:dyDescent="0.4">
      <c r="A66" s="438" t="s">
        <v>98</v>
      </c>
      <c r="B66" s="439">
        <v>1</v>
      </c>
      <c r="C66" s="796"/>
      <c r="D66" s="799"/>
      <c r="E66" s="497">
        <v>3</v>
      </c>
      <c r="F66" s="451">
        <v>10156773</v>
      </c>
      <c r="G66" s="505">
        <f>IF(ISBLANK(F66),"-",(F66/$D$50*$D$47*$B$68)*($B$57/$D$64))</f>
        <v>554.27650476373151</v>
      </c>
      <c r="H66" s="506">
        <f t="shared" si="0"/>
        <v>0.92379417460621915</v>
      </c>
    </row>
    <row r="67" spans="1:8" ht="27" customHeight="1" thickBot="1" x14ac:dyDescent="0.45">
      <c r="A67" s="438" t="s">
        <v>99</v>
      </c>
      <c r="B67" s="439">
        <v>1</v>
      </c>
      <c r="C67" s="797"/>
      <c r="D67" s="800"/>
      <c r="E67" s="501">
        <v>4</v>
      </c>
      <c r="F67" s="502"/>
      <c r="G67" s="507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4">
      <c r="A68" s="438" t="s">
        <v>100</v>
      </c>
      <c r="B68" s="509">
        <f>(B67/B66)*(B65/B64)*(B63/B62)*(B61/B60)*B59</f>
        <v>2083.3333333333335</v>
      </c>
      <c r="C68" s="795" t="s">
        <v>101</v>
      </c>
      <c r="D68" s="798">
        <f>Lamivudine!D68</f>
        <v>1879.85</v>
      </c>
      <c r="E68" s="493">
        <v>1</v>
      </c>
      <c r="F68" s="494">
        <v>9849990</v>
      </c>
      <c r="G68" s="503">
        <f>IF(ISBLANK(F68),"-",(F68/$D$50*$D$47*$B$68)*($B$57/$D$68))</f>
        <v>543.11922626396063</v>
      </c>
      <c r="H68" s="499">
        <f t="shared" si="0"/>
        <v>0.90519871043993438</v>
      </c>
    </row>
    <row r="69" spans="1:8" ht="27" customHeight="1" thickBot="1" x14ac:dyDescent="0.45">
      <c r="A69" s="484" t="s">
        <v>102</v>
      </c>
      <c r="B69" s="510">
        <f>(D47*B68)/B56*B57</f>
        <v>1575.4400000000003</v>
      </c>
      <c r="C69" s="796"/>
      <c r="D69" s="799"/>
      <c r="E69" s="497">
        <v>2</v>
      </c>
      <c r="F69" s="451">
        <v>9899551</v>
      </c>
      <c r="G69" s="505">
        <f>IF(ISBLANK(F69),"-",(F69/$D$50*$D$47*$B$68)*($B$57/$D$68))</f>
        <v>545.85197340105117</v>
      </c>
      <c r="H69" s="499">
        <f t="shared" si="0"/>
        <v>0.9097532890017519</v>
      </c>
    </row>
    <row r="70" spans="1:8" ht="26.25" customHeight="1" x14ac:dyDescent="0.4">
      <c r="A70" s="803" t="s">
        <v>75</v>
      </c>
      <c r="B70" s="804"/>
      <c r="C70" s="796"/>
      <c r="D70" s="799"/>
      <c r="E70" s="497">
        <v>3</v>
      </c>
      <c r="F70" s="451">
        <v>9863595</v>
      </c>
      <c r="G70" s="505">
        <f>IF(ISBLANK(F70),"-",(F70/$D$50*$D$47*$B$68)*($B$57/$D$68))</f>
        <v>543.86939322588876</v>
      </c>
      <c r="H70" s="499">
        <f t="shared" si="0"/>
        <v>0.90644898870981461</v>
      </c>
    </row>
    <row r="71" spans="1:8" ht="27" customHeight="1" thickBot="1" x14ac:dyDescent="0.45">
      <c r="A71" s="805"/>
      <c r="B71" s="806"/>
      <c r="C71" s="801"/>
      <c r="D71" s="800"/>
      <c r="E71" s="501">
        <v>4</v>
      </c>
      <c r="F71" s="502"/>
      <c r="G71" s="507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">
      <c r="A72" s="468"/>
      <c r="B72" s="468"/>
      <c r="C72" s="468"/>
      <c r="D72" s="468"/>
      <c r="E72" s="468"/>
      <c r="F72" s="512" t="s">
        <v>68</v>
      </c>
      <c r="G72" s="513">
        <f>AVERAGE(G60:G71)</f>
        <v>551.86228399736558</v>
      </c>
      <c r="H72" s="514">
        <f>AVERAGE(H60:H71)</f>
        <v>0.91977047332894279</v>
      </c>
    </row>
    <row r="73" spans="1:8" ht="26.25" customHeight="1" x14ac:dyDescent="0.4">
      <c r="C73" s="468"/>
      <c r="D73" s="468"/>
      <c r="E73" s="468"/>
      <c r="F73" s="515" t="s">
        <v>81</v>
      </c>
      <c r="G73" s="516">
        <f>STDEV(G60:G71)/G72</f>
        <v>1.0974738352540536E-2</v>
      </c>
      <c r="H73" s="516">
        <f>STDEV(H60:H71)/H72</f>
        <v>1.0974738352540528E-2</v>
      </c>
    </row>
    <row r="74" spans="1:8" ht="27" customHeight="1" thickBot="1" x14ac:dyDescent="0.45">
      <c r="A74" s="468"/>
      <c r="B74" s="468"/>
      <c r="C74" s="468"/>
      <c r="D74" s="468"/>
      <c r="E74" s="470"/>
      <c r="F74" s="517" t="s">
        <v>17</v>
      </c>
      <c r="G74" s="518">
        <f>COUNT(G60:G71)</f>
        <v>9</v>
      </c>
      <c r="H74" s="518">
        <f>COUNT(H60:H71)</f>
        <v>9</v>
      </c>
    </row>
    <row r="76" spans="1:8" ht="26.25" customHeight="1" x14ac:dyDescent="0.4">
      <c r="A76" s="421" t="s">
        <v>103</v>
      </c>
      <c r="B76" s="422" t="s">
        <v>104</v>
      </c>
      <c r="C76" s="807" t="str">
        <f>B20</f>
        <v xml:space="preserve">Tenofovir Disoproxil Fumarate 300mg, Lamivudine 300mg &amp; Efavirenz 600mg </v>
      </c>
      <c r="D76" s="807"/>
      <c r="E76" s="410" t="s">
        <v>105</v>
      </c>
      <c r="F76" s="410"/>
      <c r="G76" s="519">
        <f>H72</f>
        <v>0.91977047332894279</v>
      </c>
      <c r="H76" s="427"/>
    </row>
    <row r="77" spans="1:8" ht="18.75" x14ac:dyDescent="0.3">
      <c r="A77" s="420" t="s">
        <v>106</v>
      </c>
      <c r="B77" s="420" t="s">
        <v>107</v>
      </c>
    </row>
    <row r="78" spans="1:8" ht="18.75" x14ac:dyDescent="0.3">
      <c r="A78" s="420"/>
      <c r="B78" s="420"/>
    </row>
    <row r="79" spans="1:8" ht="26.25" customHeight="1" x14ac:dyDescent="0.4">
      <c r="A79" s="421" t="s">
        <v>4</v>
      </c>
      <c r="B79" s="802" t="str">
        <f>B26</f>
        <v>Effavirenz</v>
      </c>
      <c r="C79" s="802"/>
    </row>
    <row r="80" spans="1:8" ht="26.25" customHeight="1" x14ac:dyDescent="0.4">
      <c r="A80" s="422" t="s">
        <v>45</v>
      </c>
      <c r="B80" s="802" t="str">
        <f>B27</f>
        <v>E15-3</v>
      </c>
      <c r="C80" s="802"/>
    </row>
    <row r="81" spans="1:12" ht="27" customHeight="1" thickBot="1" x14ac:dyDescent="0.45">
      <c r="A81" s="422" t="s">
        <v>6</v>
      </c>
      <c r="B81" s="423">
        <f>B28</f>
        <v>99.3</v>
      </c>
    </row>
    <row r="82" spans="1:12" s="425" customFormat="1" ht="27" customHeight="1" thickBot="1" x14ac:dyDescent="0.45">
      <c r="A82" s="422" t="s">
        <v>46</v>
      </c>
      <c r="B82" s="424">
        <v>0</v>
      </c>
      <c r="C82" s="784" t="s">
        <v>47</v>
      </c>
      <c r="D82" s="785"/>
      <c r="E82" s="785"/>
      <c r="F82" s="785"/>
      <c r="G82" s="786"/>
      <c r="I82" s="426"/>
      <c r="J82" s="426"/>
      <c r="K82" s="426"/>
      <c r="L82" s="426"/>
    </row>
    <row r="83" spans="1:12" s="425" customFormat="1" ht="19.5" customHeight="1" thickBot="1" x14ac:dyDescent="0.35">
      <c r="A83" s="422" t="s">
        <v>48</v>
      </c>
      <c r="B83" s="427">
        <f>B81-B82</f>
        <v>99.3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425" customFormat="1" ht="27" customHeight="1" thickBot="1" x14ac:dyDescent="0.45">
      <c r="A84" s="422" t="s">
        <v>49</v>
      </c>
      <c r="B84" s="430">
        <v>1</v>
      </c>
      <c r="C84" s="772" t="s">
        <v>108</v>
      </c>
      <c r="D84" s="773"/>
      <c r="E84" s="773"/>
      <c r="F84" s="773"/>
      <c r="G84" s="773"/>
      <c r="H84" s="774"/>
      <c r="I84" s="426"/>
      <c r="J84" s="426"/>
      <c r="K84" s="426"/>
      <c r="L84" s="426"/>
    </row>
    <row r="85" spans="1:12" s="425" customFormat="1" ht="27" customHeight="1" thickBot="1" x14ac:dyDescent="0.45">
      <c r="A85" s="422" t="s">
        <v>51</v>
      </c>
      <c r="B85" s="430">
        <v>1</v>
      </c>
      <c r="C85" s="772" t="s">
        <v>109</v>
      </c>
      <c r="D85" s="773"/>
      <c r="E85" s="773"/>
      <c r="F85" s="773"/>
      <c r="G85" s="773"/>
      <c r="H85" s="774"/>
      <c r="I85" s="426"/>
      <c r="J85" s="426"/>
      <c r="K85" s="426"/>
      <c r="L85" s="426"/>
    </row>
    <row r="86" spans="1:12" s="425" customFormat="1" ht="18.75" x14ac:dyDescent="0.3">
      <c r="A86" s="422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425" customFormat="1" ht="18.75" x14ac:dyDescent="0.3">
      <c r="A87" s="422" t="s">
        <v>53</v>
      </c>
      <c r="B87" s="435">
        <f>B84/B85</f>
        <v>1</v>
      </c>
      <c r="C87" s="410" t="s">
        <v>54</v>
      </c>
      <c r="D87" s="410"/>
      <c r="E87" s="410"/>
      <c r="F87" s="410"/>
      <c r="G87" s="410"/>
      <c r="I87" s="426"/>
      <c r="J87" s="426"/>
      <c r="K87" s="426"/>
      <c r="L87" s="426"/>
    </row>
    <row r="88" spans="1:12" ht="19.5" customHeight="1" thickBot="1" x14ac:dyDescent="0.35">
      <c r="A88" s="420"/>
      <c r="B88" s="420"/>
    </row>
    <row r="89" spans="1:12" ht="27" customHeight="1" thickBot="1" x14ac:dyDescent="0.45">
      <c r="A89" s="436" t="s">
        <v>55</v>
      </c>
      <c r="B89" s="437">
        <v>50</v>
      </c>
      <c r="D89" s="520" t="s">
        <v>56</v>
      </c>
      <c r="E89" s="521"/>
      <c r="F89" s="787" t="s">
        <v>57</v>
      </c>
      <c r="G89" s="789"/>
    </row>
    <row r="90" spans="1:12" ht="27" customHeight="1" thickBot="1" x14ac:dyDescent="0.45">
      <c r="A90" s="438" t="s">
        <v>58</v>
      </c>
      <c r="B90" s="439">
        <v>1</v>
      </c>
      <c r="C90" s="522" t="s">
        <v>59</v>
      </c>
      <c r="D90" s="441" t="s">
        <v>60</v>
      </c>
      <c r="E90" s="442" t="s">
        <v>61</v>
      </c>
      <c r="F90" s="441" t="s">
        <v>60</v>
      </c>
      <c r="G90" s="523" t="s">
        <v>61</v>
      </c>
      <c r="I90" s="444" t="s">
        <v>62</v>
      </c>
    </row>
    <row r="91" spans="1:12" ht="26.25" customHeight="1" x14ac:dyDescent="0.4">
      <c r="A91" s="438" t="s">
        <v>63</v>
      </c>
      <c r="B91" s="439">
        <v>1</v>
      </c>
      <c r="C91" s="524">
        <v>1</v>
      </c>
      <c r="D91" s="446">
        <v>231834780</v>
      </c>
      <c r="E91" s="447">
        <f>IF(ISBLANK(D91),"-",$D$101/$D$98*D91)</f>
        <v>244384923.35391703</v>
      </c>
      <c r="F91" s="446">
        <v>247491737</v>
      </c>
      <c r="G91" s="448">
        <f>IF(ISBLANK(F91),"-",$D$101/$F$98*F91)</f>
        <v>247340117.50796762</v>
      </c>
      <c r="I91" s="449"/>
    </row>
    <row r="92" spans="1:12" ht="26.25" customHeight="1" x14ac:dyDescent="0.4">
      <c r="A92" s="438" t="s">
        <v>64</v>
      </c>
      <c r="B92" s="439">
        <v>1</v>
      </c>
      <c r="C92" s="468">
        <v>2</v>
      </c>
      <c r="D92" s="451">
        <v>231784528</v>
      </c>
      <c r="E92" s="452">
        <f>IF(ISBLANK(D92),"-",$D$101/$D$98*D92)</f>
        <v>244331951.01228487</v>
      </c>
      <c r="F92" s="451">
        <v>246270959</v>
      </c>
      <c r="G92" s="453">
        <f>IF(ISBLANK(F92),"-",$D$101/$F$98*F92)</f>
        <v>246120087.38643211</v>
      </c>
      <c r="I92" s="790">
        <f>ABS((F96/D96*D95)-F95)/D95</f>
        <v>1.2816563703934502E-2</v>
      </c>
    </row>
    <row r="93" spans="1:12" ht="26.25" customHeight="1" x14ac:dyDescent="0.4">
      <c r="A93" s="438" t="s">
        <v>65</v>
      </c>
      <c r="B93" s="439">
        <v>1</v>
      </c>
      <c r="C93" s="468">
        <v>3</v>
      </c>
      <c r="D93" s="451">
        <v>230858435</v>
      </c>
      <c r="E93" s="452">
        <f>IF(ISBLANK(D93),"-",$D$101/$D$98*D93)</f>
        <v>243355724.89632592</v>
      </c>
      <c r="F93" s="451">
        <v>247659482</v>
      </c>
      <c r="G93" s="453">
        <f>IF(ISBLANK(F93),"-",$D$101/$F$98*F93)</f>
        <v>247507759.74327737</v>
      </c>
      <c r="I93" s="790"/>
    </row>
    <row r="94" spans="1:12" ht="27" customHeight="1" thickBot="1" x14ac:dyDescent="0.45">
      <c r="A94" s="438" t="s">
        <v>66</v>
      </c>
      <c r="B94" s="439">
        <v>1</v>
      </c>
      <c r="C94" s="525">
        <v>4</v>
      </c>
      <c r="D94" s="455"/>
      <c r="E94" s="456" t="str">
        <f>IF(ISBLANK(D94),"-",$D$101/$D$98*D94)</f>
        <v>-</v>
      </c>
      <c r="F94" s="526"/>
      <c r="G94" s="457" t="str">
        <f>IF(ISBLANK(F94),"-",$D$101/$F$98*F94)</f>
        <v>-</v>
      </c>
      <c r="I94" s="458"/>
    </row>
    <row r="95" spans="1:12" ht="27" customHeight="1" thickBot="1" x14ac:dyDescent="0.45">
      <c r="A95" s="438" t="s">
        <v>67</v>
      </c>
      <c r="B95" s="439">
        <v>1</v>
      </c>
      <c r="C95" s="422" t="s">
        <v>68</v>
      </c>
      <c r="D95" s="527">
        <f>AVERAGE(D91:D94)</f>
        <v>231492581</v>
      </c>
      <c r="E95" s="461">
        <f>AVERAGE(E91:E94)</f>
        <v>244024199.75417593</v>
      </c>
      <c r="F95" s="528">
        <f>AVERAGE(F91:F94)</f>
        <v>247140726</v>
      </c>
      <c r="G95" s="529">
        <f>AVERAGE(G91:G94)</f>
        <v>246989321.54589239</v>
      </c>
    </row>
    <row r="96" spans="1:12" ht="26.25" customHeight="1" x14ac:dyDescent="0.4">
      <c r="A96" s="438" t="s">
        <v>69</v>
      </c>
      <c r="B96" s="423">
        <v>1</v>
      </c>
      <c r="C96" s="530" t="s">
        <v>110</v>
      </c>
      <c r="D96" s="531">
        <v>28.66</v>
      </c>
      <c r="E96" s="410"/>
      <c r="F96" s="465">
        <v>30.23</v>
      </c>
    </row>
    <row r="97" spans="1:10" ht="26.25" customHeight="1" x14ac:dyDescent="0.4">
      <c r="A97" s="438" t="s">
        <v>71</v>
      </c>
      <c r="B97" s="423">
        <v>1</v>
      </c>
      <c r="C97" s="532" t="s">
        <v>111</v>
      </c>
      <c r="D97" s="533">
        <f>D96*$B$87</f>
        <v>28.66</v>
      </c>
      <c r="E97" s="468"/>
      <c r="F97" s="467">
        <f>F96*$B$87</f>
        <v>30.23</v>
      </c>
    </row>
    <row r="98" spans="1:10" ht="19.5" customHeight="1" thickBot="1" x14ac:dyDescent="0.35">
      <c r="A98" s="438" t="s">
        <v>73</v>
      </c>
      <c r="B98" s="468">
        <f>(B97/B96)*(B95/B94)*(B93/B92)*(B91/B90)*B89</f>
        <v>50</v>
      </c>
      <c r="C98" s="532" t="s">
        <v>112</v>
      </c>
      <c r="D98" s="534">
        <f>D97*$B$83/100</f>
        <v>28.459379999999999</v>
      </c>
      <c r="E98" s="470"/>
      <c r="F98" s="469">
        <f>F97*$B$83/100</f>
        <v>30.01839</v>
      </c>
    </row>
    <row r="99" spans="1:10" ht="19.5" customHeight="1" thickBot="1" x14ac:dyDescent="0.35">
      <c r="A99" s="791" t="s">
        <v>75</v>
      </c>
      <c r="B99" s="808"/>
      <c r="C99" s="532" t="s">
        <v>113</v>
      </c>
      <c r="D99" s="535">
        <f>D98/$B$98</f>
        <v>0.56918760000000002</v>
      </c>
      <c r="E99" s="470"/>
      <c r="F99" s="473">
        <f>F98/$B$98</f>
        <v>0.60036780000000001</v>
      </c>
      <c r="H99" s="463"/>
    </row>
    <row r="100" spans="1:10" ht="19.5" customHeight="1" thickBot="1" x14ac:dyDescent="0.35">
      <c r="A100" s="793"/>
      <c r="B100" s="809"/>
      <c r="C100" s="532" t="s">
        <v>77</v>
      </c>
      <c r="D100" s="536">
        <f>$B$56/$B$116</f>
        <v>0.6</v>
      </c>
      <c r="F100" s="478"/>
      <c r="G100" s="537"/>
      <c r="H100" s="463"/>
    </row>
    <row r="101" spans="1:10" ht="18.75" x14ac:dyDescent="0.3">
      <c r="C101" s="532" t="s">
        <v>78</v>
      </c>
      <c r="D101" s="533">
        <f>D100*$B$98</f>
        <v>30</v>
      </c>
      <c r="F101" s="478"/>
      <c r="H101" s="463"/>
    </row>
    <row r="102" spans="1:10" ht="19.5" customHeight="1" thickBot="1" x14ac:dyDescent="0.35">
      <c r="C102" s="538" t="s">
        <v>79</v>
      </c>
      <c r="D102" s="539">
        <f>D101/B34</f>
        <v>30</v>
      </c>
      <c r="F102" s="482"/>
      <c r="H102" s="463"/>
      <c r="J102" s="540"/>
    </row>
    <row r="103" spans="1:10" ht="18.75" x14ac:dyDescent="0.3">
      <c r="C103" s="541" t="s">
        <v>114</v>
      </c>
      <c r="D103" s="542">
        <f>AVERAGE(E91:E94,G91:G94)</f>
        <v>245506760.65003416</v>
      </c>
      <c r="F103" s="482"/>
      <c r="G103" s="537"/>
      <c r="H103" s="463"/>
      <c r="J103" s="543"/>
    </row>
    <row r="104" spans="1:10" ht="18.75" x14ac:dyDescent="0.3">
      <c r="C104" s="515" t="s">
        <v>81</v>
      </c>
      <c r="D104" s="544">
        <f>STDEV(E91:E94,G91:G94)/D103</f>
        <v>7.0566521895702667E-3</v>
      </c>
      <c r="F104" s="482"/>
      <c r="H104" s="463"/>
      <c r="J104" s="543"/>
    </row>
    <row r="105" spans="1:10" ht="19.5" customHeight="1" thickBot="1" x14ac:dyDescent="0.35">
      <c r="C105" s="517" t="s">
        <v>17</v>
      </c>
      <c r="D105" s="545">
        <f>COUNT(E91:E94,G91:G94)</f>
        <v>6</v>
      </c>
      <c r="F105" s="482"/>
      <c r="H105" s="463"/>
      <c r="J105" s="543"/>
    </row>
    <row r="106" spans="1:10" ht="19.5" customHeight="1" thickBot="1" x14ac:dyDescent="0.35">
      <c r="A106" s="486"/>
      <c r="B106" s="486"/>
      <c r="C106" s="486"/>
      <c r="D106" s="486"/>
      <c r="E106" s="486"/>
    </row>
    <row r="107" spans="1:10" ht="26.25" customHeight="1" x14ac:dyDescent="0.4">
      <c r="A107" s="436" t="s">
        <v>115</v>
      </c>
      <c r="B107" s="437">
        <v>1000</v>
      </c>
      <c r="C107" s="520" t="s">
        <v>116</v>
      </c>
      <c r="D107" s="546" t="s">
        <v>60</v>
      </c>
      <c r="E107" s="547" t="s">
        <v>117</v>
      </c>
      <c r="F107" s="548" t="s">
        <v>118</v>
      </c>
    </row>
    <row r="108" spans="1:10" ht="26.25" customHeight="1" x14ac:dyDescent="0.4">
      <c r="A108" s="438" t="s">
        <v>119</v>
      </c>
      <c r="B108" s="439">
        <v>1</v>
      </c>
      <c r="C108" s="549">
        <v>1</v>
      </c>
      <c r="D108" s="550">
        <v>231342752</v>
      </c>
      <c r="E108" s="551">
        <f t="shared" ref="E108:E113" si="1">IF(ISBLANK(D108),"-",D108/$D$103*$D$100*$B$116)</f>
        <v>565.38423150743768</v>
      </c>
      <c r="F108" s="552">
        <f t="shared" ref="F108:F113" si="2">IF(ISBLANK(D108), "-", E108/$B$56)</f>
        <v>0.9423070525123961</v>
      </c>
    </row>
    <row r="109" spans="1:10" ht="26.25" customHeight="1" x14ac:dyDescent="0.4">
      <c r="A109" s="438" t="s">
        <v>92</v>
      </c>
      <c r="B109" s="439">
        <v>1</v>
      </c>
      <c r="C109" s="549">
        <v>2</v>
      </c>
      <c r="D109" s="550">
        <v>232816324</v>
      </c>
      <c r="E109" s="553">
        <f t="shared" si="1"/>
        <v>568.9855302971697</v>
      </c>
      <c r="F109" s="554">
        <f t="shared" si="2"/>
        <v>0.94830921716194949</v>
      </c>
    </row>
    <row r="110" spans="1:10" ht="26.25" customHeight="1" x14ac:dyDescent="0.4">
      <c r="A110" s="438" t="s">
        <v>93</v>
      </c>
      <c r="B110" s="439">
        <v>1</v>
      </c>
      <c r="C110" s="549">
        <v>3</v>
      </c>
      <c r="D110" s="550">
        <v>234461570</v>
      </c>
      <c r="E110" s="553">
        <f t="shared" si="1"/>
        <v>573.00638739041756</v>
      </c>
      <c r="F110" s="554">
        <f t="shared" si="2"/>
        <v>0.95501064565069593</v>
      </c>
    </row>
    <row r="111" spans="1:10" ht="26.25" customHeight="1" x14ac:dyDescent="0.4">
      <c r="A111" s="438" t="s">
        <v>94</v>
      </c>
      <c r="B111" s="439">
        <v>1</v>
      </c>
      <c r="C111" s="549">
        <v>4</v>
      </c>
      <c r="D111" s="550">
        <v>232549703</v>
      </c>
      <c r="E111" s="553">
        <f t="shared" si="1"/>
        <v>568.33392868922851</v>
      </c>
      <c r="F111" s="554">
        <f t="shared" si="2"/>
        <v>0.94722321448204749</v>
      </c>
    </row>
    <row r="112" spans="1:10" ht="26.25" customHeight="1" x14ac:dyDescent="0.4">
      <c r="A112" s="438" t="s">
        <v>95</v>
      </c>
      <c r="B112" s="439">
        <v>1</v>
      </c>
      <c r="C112" s="549">
        <v>5</v>
      </c>
      <c r="D112" s="550">
        <v>234213487</v>
      </c>
      <c r="E112" s="553">
        <f t="shared" si="1"/>
        <v>572.40009125581867</v>
      </c>
      <c r="F112" s="554">
        <f t="shared" si="2"/>
        <v>0.95400015209303113</v>
      </c>
    </row>
    <row r="113" spans="1:10" ht="26.25" customHeight="1" x14ac:dyDescent="0.4">
      <c r="A113" s="438" t="s">
        <v>97</v>
      </c>
      <c r="B113" s="439">
        <v>1</v>
      </c>
      <c r="C113" s="555">
        <v>6</v>
      </c>
      <c r="D113" s="556">
        <v>230434819</v>
      </c>
      <c r="E113" s="557">
        <f t="shared" si="1"/>
        <v>563.1653117572946</v>
      </c>
      <c r="F113" s="558">
        <f t="shared" si="2"/>
        <v>0.93860885292882434</v>
      </c>
    </row>
    <row r="114" spans="1:10" ht="26.25" customHeight="1" x14ac:dyDescent="0.4">
      <c r="A114" s="438" t="s">
        <v>98</v>
      </c>
      <c r="B114" s="439">
        <v>1</v>
      </c>
      <c r="C114" s="549"/>
      <c r="D114" s="468"/>
      <c r="E114" s="410"/>
      <c r="F114" s="559"/>
    </row>
    <row r="115" spans="1:10" ht="26.25" customHeight="1" x14ac:dyDescent="0.4">
      <c r="A115" s="438" t="s">
        <v>99</v>
      </c>
      <c r="B115" s="439">
        <v>1</v>
      </c>
      <c r="C115" s="549"/>
      <c r="D115" s="560" t="s">
        <v>68</v>
      </c>
      <c r="E115" s="561">
        <f>AVERAGE(E108:E113)</f>
        <v>568.54591348289443</v>
      </c>
      <c r="F115" s="562">
        <f>AVERAGE(F108:F113)</f>
        <v>0.94757652247149071</v>
      </c>
    </row>
    <row r="116" spans="1:10" ht="27" customHeight="1" thickBot="1" x14ac:dyDescent="0.45">
      <c r="A116" s="438" t="s">
        <v>100</v>
      </c>
      <c r="B116" s="450">
        <f>(B115/B114)*(B113/B112)*(B111/B110)*(B109/B108)*B107</f>
        <v>1000</v>
      </c>
      <c r="C116" s="563"/>
      <c r="D116" s="422" t="s">
        <v>81</v>
      </c>
      <c r="E116" s="564">
        <f>STDEV(E108:E113)/E115</f>
        <v>6.7635843207210378E-3</v>
      </c>
      <c r="F116" s="564">
        <f>STDEV(F108:F113)/F115</f>
        <v>6.7635843207210448E-3</v>
      </c>
      <c r="I116" s="410"/>
    </row>
    <row r="117" spans="1:10" ht="27" customHeight="1" thickBot="1" x14ac:dyDescent="0.45">
      <c r="A117" s="791" t="s">
        <v>75</v>
      </c>
      <c r="B117" s="792"/>
      <c r="C117" s="565"/>
      <c r="D117" s="566" t="s">
        <v>17</v>
      </c>
      <c r="E117" s="567">
        <f>COUNT(E108:E113)</f>
        <v>6</v>
      </c>
      <c r="F117" s="567">
        <f>COUNT(F108:F113)</f>
        <v>6</v>
      </c>
      <c r="I117" s="410"/>
      <c r="J117" s="543"/>
    </row>
    <row r="118" spans="1:10" ht="19.5" customHeight="1" thickBot="1" x14ac:dyDescent="0.35">
      <c r="A118" s="793"/>
      <c r="B118" s="794"/>
      <c r="C118" s="410"/>
      <c r="D118" s="410"/>
      <c r="E118" s="410"/>
      <c r="F118" s="468"/>
      <c r="G118" s="410"/>
      <c r="H118" s="410"/>
      <c r="I118" s="410"/>
    </row>
    <row r="119" spans="1:10" ht="18.75" x14ac:dyDescent="0.3">
      <c r="A119" s="568"/>
      <c r="B119" s="434"/>
      <c r="C119" s="410"/>
      <c r="D119" s="410"/>
      <c r="E119" s="410"/>
      <c r="F119" s="468"/>
      <c r="G119" s="410"/>
      <c r="H119" s="410"/>
      <c r="I119" s="410"/>
    </row>
    <row r="120" spans="1:10" ht="26.25" customHeight="1" x14ac:dyDescent="0.4">
      <c r="A120" s="421" t="s">
        <v>103</v>
      </c>
      <c r="B120" s="422" t="s">
        <v>120</v>
      </c>
      <c r="C120" s="807" t="str">
        <f>B20</f>
        <v xml:space="preserve">Tenofovir Disoproxil Fumarate 300mg, Lamivudine 300mg &amp; Efavirenz 600mg </v>
      </c>
      <c r="D120" s="807"/>
      <c r="E120" s="410" t="s">
        <v>121</v>
      </c>
      <c r="F120" s="410"/>
      <c r="G120" s="519">
        <f>F115</f>
        <v>0.94757652247149071</v>
      </c>
      <c r="H120" s="410"/>
      <c r="I120" s="410"/>
    </row>
    <row r="121" spans="1:10" ht="19.5" customHeight="1" thickBot="1" x14ac:dyDescent="0.35">
      <c r="A121" s="569"/>
      <c r="B121" s="569"/>
      <c r="C121" s="570"/>
      <c r="D121" s="570"/>
      <c r="E121" s="570"/>
      <c r="F121" s="570"/>
      <c r="G121" s="570"/>
      <c r="H121" s="570"/>
    </row>
    <row r="122" spans="1:10" ht="18.75" x14ac:dyDescent="0.3">
      <c r="B122" s="810" t="s">
        <v>23</v>
      </c>
      <c r="C122" s="810"/>
      <c r="E122" s="522" t="s">
        <v>24</v>
      </c>
      <c r="F122" s="571"/>
      <c r="G122" s="810" t="s">
        <v>25</v>
      </c>
      <c r="H122" s="810"/>
    </row>
    <row r="123" spans="1:10" ht="69.95" customHeight="1" x14ac:dyDescent="0.3">
      <c r="A123" s="421" t="s">
        <v>26</v>
      </c>
      <c r="B123" s="572"/>
      <c r="C123" s="572"/>
      <c r="E123" s="572"/>
      <c r="F123" s="410"/>
      <c r="G123" s="572"/>
      <c r="H123" s="572"/>
    </row>
    <row r="124" spans="1:10" ht="69.95" customHeight="1" x14ac:dyDescent="0.3">
      <c r="A124" s="421" t="s">
        <v>27</v>
      </c>
      <c r="B124" s="573"/>
      <c r="C124" s="573"/>
      <c r="E124" s="573"/>
      <c r="F124" s="410"/>
      <c r="G124" s="574"/>
      <c r="H124" s="574"/>
    </row>
    <row r="125" spans="1:10" ht="18.75" x14ac:dyDescent="0.3">
      <c r="A125" s="468"/>
      <c r="B125" s="468"/>
      <c r="C125" s="468"/>
      <c r="D125" s="468"/>
      <c r="E125" s="468"/>
      <c r="F125" s="470"/>
      <c r="G125" s="468"/>
      <c r="H125" s="468"/>
      <c r="I125" s="410"/>
    </row>
    <row r="126" spans="1:10" ht="18.75" x14ac:dyDescent="0.3">
      <c r="A126" s="468"/>
      <c r="B126" s="468"/>
      <c r="C126" s="468"/>
      <c r="D126" s="468"/>
      <c r="E126" s="468"/>
      <c r="F126" s="470"/>
      <c r="G126" s="468"/>
      <c r="H126" s="468"/>
      <c r="I126" s="410"/>
    </row>
    <row r="127" spans="1:10" ht="18.75" x14ac:dyDescent="0.3">
      <c r="A127" s="468"/>
      <c r="B127" s="468"/>
      <c r="C127" s="468"/>
      <c r="D127" s="468"/>
      <c r="E127" s="468"/>
      <c r="F127" s="470"/>
      <c r="G127" s="468"/>
      <c r="H127" s="468"/>
      <c r="I127" s="410"/>
    </row>
    <row r="128" spans="1:10" ht="18.75" x14ac:dyDescent="0.3">
      <c r="A128" s="468"/>
      <c r="B128" s="468"/>
      <c r="C128" s="468"/>
      <c r="D128" s="468"/>
      <c r="E128" s="468"/>
      <c r="F128" s="470"/>
      <c r="G128" s="468"/>
      <c r="H128" s="468"/>
      <c r="I128" s="410"/>
    </row>
    <row r="129" spans="1:9" ht="18.75" x14ac:dyDescent="0.3">
      <c r="A129" s="468"/>
      <c r="B129" s="468"/>
      <c r="C129" s="468"/>
      <c r="D129" s="468"/>
      <c r="E129" s="468"/>
      <c r="F129" s="470"/>
      <c r="G129" s="468"/>
      <c r="H129" s="468"/>
      <c r="I129" s="410"/>
    </row>
    <row r="130" spans="1:9" ht="18.75" x14ac:dyDescent="0.3">
      <c r="A130" s="468"/>
      <c r="B130" s="468"/>
      <c r="C130" s="468"/>
      <c r="D130" s="468"/>
      <c r="E130" s="468"/>
      <c r="F130" s="470"/>
      <c r="G130" s="468"/>
      <c r="H130" s="468"/>
      <c r="I130" s="410"/>
    </row>
    <row r="131" spans="1:9" ht="18.75" x14ac:dyDescent="0.3">
      <c r="A131" s="468"/>
      <c r="B131" s="468"/>
      <c r="C131" s="468"/>
      <c r="D131" s="468"/>
      <c r="E131" s="468"/>
      <c r="F131" s="470"/>
      <c r="G131" s="468"/>
      <c r="H131" s="468"/>
      <c r="I131" s="410"/>
    </row>
    <row r="132" spans="1:9" ht="18.75" x14ac:dyDescent="0.3">
      <c r="A132" s="468"/>
      <c r="B132" s="468"/>
      <c r="C132" s="468"/>
      <c r="D132" s="468"/>
      <c r="E132" s="468"/>
      <c r="F132" s="470"/>
      <c r="G132" s="468"/>
      <c r="H132" s="468"/>
      <c r="I132" s="410"/>
    </row>
    <row r="133" spans="1:9" ht="18.75" x14ac:dyDescent="0.3">
      <c r="A133" s="468"/>
      <c r="B133" s="468"/>
      <c r="C133" s="468"/>
      <c r="D133" s="468"/>
      <c r="E133" s="468"/>
      <c r="F133" s="470"/>
      <c r="G133" s="468"/>
      <c r="H133" s="468"/>
      <c r="I133" s="410"/>
    </row>
    <row r="250" spans="1:1" x14ac:dyDescent="0.25">
      <c r="A250" s="409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2016-10-13T06:40:51Z</cp:lastPrinted>
  <dcterms:created xsi:type="dcterms:W3CDTF">2005-07-05T10:19:27Z</dcterms:created>
  <dcterms:modified xsi:type="dcterms:W3CDTF">2016-10-13T13:55:55Z</dcterms:modified>
</cp:coreProperties>
</file>