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5"/>
  </bookViews>
  <sheets>
    <sheet name="Uniformity" sheetId="2" r:id="rId1"/>
    <sheet name="SST - Assay" sheetId="1" r:id="rId2"/>
    <sheet name="SST - Dissolution" sheetId="5" r:id="rId3"/>
    <sheet name="Atazanavir" sheetId="3" r:id="rId4"/>
    <sheet name="Ritonavir - 90 min" sheetId="4" r:id="rId5"/>
    <sheet name="Ritonavir - 150 min " sheetId="7" r:id="rId6"/>
  </sheets>
  <definedNames>
    <definedName name="_xlnm.Print_Area" localSheetId="3">Atazanavir!$A$1:$H$126</definedName>
    <definedName name="_xlnm.Print_Area" localSheetId="5">'Ritonavir - 150 min '!$A$1:$H$126</definedName>
    <definedName name="_xlnm.Print_Area" localSheetId="4">'Ritonavir - 90 min'!$A$1:$H$126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C120" i="7"/>
  <c r="B116"/>
  <c r="D101"/>
  <c r="G92" s="1"/>
  <c r="D100"/>
  <c r="B98"/>
  <c r="D97"/>
  <c r="D98" s="1"/>
  <c r="F95"/>
  <c r="D95"/>
  <c r="G94"/>
  <c r="E94"/>
  <c r="I92"/>
  <c r="B87"/>
  <c r="F97" s="1"/>
  <c r="F98" s="1"/>
  <c r="B81"/>
  <c r="B83" s="1"/>
  <c r="B80"/>
  <c r="B79"/>
  <c r="C76"/>
  <c r="H71"/>
  <c r="G71"/>
  <c r="D68"/>
  <c r="B68"/>
  <c r="B69" s="1"/>
  <c r="H67"/>
  <c r="G67"/>
  <c r="D64"/>
  <c r="H63"/>
  <c r="G63"/>
  <c r="D60"/>
  <c r="B57"/>
  <c r="C56"/>
  <c r="B55"/>
  <c r="B45"/>
  <c r="D48" s="1"/>
  <c r="F42"/>
  <c r="D42"/>
  <c r="I39" s="1"/>
  <c r="G41"/>
  <c r="E41"/>
  <c r="B34"/>
  <c r="D44" s="1"/>
  <c r="D45" s="1"/>
  <c r="D46" s="1"/>
  <c r="B30"/>
  <c r="B23"/>
  <c r="B22"/>
  <c r="B27" i="5"/>
  <c r="B6"/>
  <c r="B39"/>
  <c r="E37"/>
  <c r="D37"/>
  <c r="C37"/>
  <c r="B37"/>
  <c r="B38" s="1"/>
  <c r="B18"/>
  <c r="E16"/>
  <c r="D16"/>
  <c r="C16"/>
  <c r="B16"/>
  <c r="B17" s="1"/>
  <c r="B28" i="1"/>
  <c r="B27"/>
  <c r="B7"/>
  <c r="B6"/>
  <c r="B23" i="4"/>
  <c r="B22"/>
  <c r="D68"/>
  <c r="D64"/>
  <c r="D60"/>
  <c r="B85" i="3"/>
  <c r="B84"/>
  <c r="C120" i="4"/>
  <c r="B116"/>
  <c r="D100" s="1"/>
  <c r="B98"/>
  <c r="F95"/>
  <c r="D95"/>
  <c r="B87"/>
  <c r="F97" s="1"/>
  <c r="B83"/>
  <c r="B81"/>
  <c r="B80"/>
  <c r="B79"/>
  <c r="C76"/>
  <c r="B68"/>
  <c r="B57"/>
  <c r="C56"/>
  <c r="B55"/>
  <c r="B45"/>
  <c r="D48" s="1"/>
  <c r="F42"/>
  <c r="D42"/>
  <c r="B34"/>
  <c r="B30"/>
  <c r="C120" i="3"/>
  <c r="B116"/>
  <c r="D100" s="1"/>
  <c r="B98"/>
  <c r="F95"/>
  <c r="D95"/>
  <c r="B87"/>
  <c r="D97" s="1"/>
  <c r="B83"/>
  <c r="B81"/>
  <c r="B80"/>
  <c r="B79"/>
  <c r="C76"/>
  <c r="B68"/>
  <c r="B57"/>
  <c r="C56"/>
  <c r="B55"/>
  <c r="B45"/>
  <c r="D48" s="1"/>
  <c r="F42"/>
  <c r="D42"/>
  <c r="B34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39" i="1"/>
  <c r="E37"/>
  <c r="D37"/>
  <c r="C37"/>
  <c r="B37"/>
  <c r="B38" s="1"/>
  <c r="B18"/>
  <c r="E16"/>
  <c r="D16"/>
  <c r="C16"/>
  <c r="B16"/>
  <c r="B17" s="1"/>
  <c r="D49" i="7" l="1"/>
  <c r="E40"/>
  <c r="G38"/>
  <c r="E39"/>
  <c r="G40"/>
  <c r="E38"/>
  <c r="E93"/>
  <c r="D99"/>
  <c r="E91"/>
  <c r="F99"/>
  <c r="G91"/>
  <c r="E92"/>
  <c r="G93"/>
  <c r="D102"/>
  <c r="F44"/>
  <c r="F45" s="1"/>
  <c r="F46" s="1"/>
  <c r="I92" i="3"/>
  <c r="D101" i="4"/>
  <c r="D102" s="1"/>
  <c r="I92"/>
  <c r="D97"/>
  <c r="D98" s="1"/>
  <c r="I39"/>
  <c r="D49"/>
  <c r="F44"/>
  <c r="F45"/>
  <c r="G39" s="1"/>
  <c r="D44"/>
  <c r="D45"/>
  <c r="F98"/>
  <c r="D101" i="3"/>
  <c r="D102" s="1"/>
  <c r="F97"/>
  <c r="D98"/>
  <c r="E93" s="1"/>
  <c r="I39"/>
  <c r="D44"/>
  <c r="D45"/>
  <c r="E40" s="1"/>
  <c r="F44"/>
  <c r="F45" s="1"/>
  <c r="D49"/>
  <c r="F98"/>
  <c r="B69"/>
  <c r="B69" i="4"/>
  <c r="D103" i="7" l="1"/>
  <c r="D104"/>
  <c r="D105"/>
  <c r="E95"/>
  <c r="G39"/>
  <c r="G42" s="1"/>
  <c r="E42"/>
  <c r="G95"/>
  <c r="E91" i="4"/>
  <c r="E92"/>
  <c r="D99"/>
  <c r="E94"/>
  <c r="E93"/>
  <c r="G40"/>
  <c r="G41"/>
  <c r="G38"/>
  <c r="F46"/>
  <c r="D46"/>
  <c r="E39"/>
  <c r="E41"/>
  <c r="E38"/>
  <c r="E40"/>
  <c r="F99"/>
  <c r="G92"/>
  <c r="G94"/>
  <c r="G91"/>
  <c r="G93"/>
  <c r="E91" i="3"/>
  <c r="E92"/>
  <c r="D99"/>
  <c r="E94"/>
  <c r="E38"/>
  <c r="D46"/>
  <c r="G40"/>
  <c r="G41"/>
  <c r="G38"/>
  <c r="F46"/>
  <c r="G39"/>
  <c r="E39"/>
  <c r="E41"/>
  <c r="F99"/>
  <c r="G92"/>
  <c r="G94"/>
  <c r="G91"/>
  <c r="G93"/>
  <c r="E113" i="7" l="1"/>
  <c r="F113" s="1"/>
  <c r="E111"/>
  <c r="F111" s="1"/>
  <c r="E109"/>
  <c r="F109" s="1"/>
  <c r="E112"/>
  <c r="F112" s="1"/>
  <c r="E110"/>
  <c r="F110" s="1"/>
  <c r="E108"/>
  <c r="D50"/>
  <c r="D52"/>
  <c r="E95" i="4"/>
  <c r="D105"/>
  <c r="D103"/>
  <c r="E113" s="1"/>
  <c r="F113" s="1"/>
  <c r="G42"/>
  <c r="E42"/>
  <c r="D52"/>
  <c r="D50"/>
  <c r="G95"/>
  <c r="E95" i="3"/>
  <c r="D105"/>
  <c r="D50"/>
  <c r="G60" s="1"/>
  <c r="D52"/>
  <c r="G42"/>
  <c r="E42"/>
  <c r="G95"/>
  <c r="D103"/>
  <c r="E117" i="7" l="1"/>
  <c r="F108"/>
  <c r="E116"/>
  <c r="E115"/>
  <c r="G70"/>
  <c r="H70" s="1"/>
  <c r="G62"/>
  <c r="H62" s="1"/>
  <c r="G60"/>
  <c r="G64"/>
  <c r="H64" s="1"/>
  <c r="G69"/>
  <c r="H69" s="1"/>
  <c r="G61"/>
  <c r="H61" s="1"/>
  <c r="D51"/>
  <c r="G68"/>
  <c r="H68" s="1"/>
  <c r="G65"/>
  <c r="H65" s="1"/>
  <c r="G66"/>
  <c r="H66" s="1"/>
  <c r="E111" i="4"/>
  <c r="F111" s="1"/>
  <c r="E109"/>
  <c r="F109" s="1"/>
  <c r="D104"/>
  <c r="E112"/>
  <c r="F112" s="1"/>
  <c r="E110"/>
  <c r="F110" s="1"/>
  <c r="E108"/>
  <c r="F108" s="1"/>
  <c r="D51"/>
  <c r="G69"/>
  <c r="H69" s="1"/>
  <c r="G70"/>
  <c r="H70" s="1"/>
  <c r="G66"/>
  <c r="H66" s="1"/>
  <c r="G61"/>
  <c r="H61" s="1"/>
  <c r="G68"/>
  <c r="H68" s="1"/>
  <c r="G64"/>
  <c r="H64" s="1"/>
  <c r="G67"/>
  <c r="H67" s="1"/>
  <c r="G62"/>
  <c r="H62" s="1"/>
  <c r="G71"/>
  <c r="H71" s="1"/>
  <c r="G65"/>
  <c r="H65" s="1"/>
  <c r="G60"/>
  <c r="G63"/>
  <c r="H63" s="1"/>
  <c r="D51" i="3"/>
  <c r="G67"/>
  <c r="H67" s="1"/>
  <c r="G62"/>
  <c r="H62" s="1"/>
  <c r="G63"/>
  <c r="H63" s="1"/>
  <c r="G68"/>
  <c r="H68" s="1"/>
  <c r="G71"/>
  <c r="H71" s="1"/>
  <c r="G70"/>
  <c r="H70" s="1"/>
  <c r="G64"/>
  <c r="H64" s="1"/>
  <c r="G69"/>
  <c r="H69" s="1"/>
  <c r="G66"/>
  <c r="H66" s="1"/>
  <c r="G61"/>
  <c r="H61" s="1"/>
  <c r="G65"/>
  <c r="H65" s="1"/>
  <c r="H60"/>
  <c r="E110"/>
  <c r="F110" s="1"/>
  <c r="E113"/>
  <c r="F113" s="1"/>
  <c r="E111"/>
  <c r="F111" s="1"/>
  <c r="E109"/>
  <c r="F109" s="1"/>
  <c r="D104"/>
  <c r="E112"/>
  <c r="F112" s="1"/>
  <c r="E108"/>
  <c r="F115" i="7" l="1"/>
  <c r="G120" s="1"/>
  <c r="F117"/>
  <c r="G74"/>
  <c r="G72"/>
  <c r="G73" s="1"/>
  <c r="H60"/>
  <c r="E117" i="4"/>
  <c r="E115"/>
  <c r="E116" s="1"/>
  <c r="F117"/>
  <c r="F115"/>
  <c r="G72"/>
  <c r="G73" s="1"/>
  <c r="G74"/>
  <c r="H60"/>
  <c r="G72" i="3"/>
  <c r="G73" s="1"/>
  <c r="G74"/>
  <c r="H72"/>
  <c r="H74"/>
  <c r="E117"/>
  <c r="F108"/>
  <c r="E115"/>
  <c r="E116" s="1"/>
  <c r="F116" i="7" l="1"/>
  <c r="H74"/>
  <c r="H72"/>
  <c r="G120" i="4"/>
  <c r="F116"/>
  <c r="H74"/>
  <c r="H72"/>
  <c r="G76" s="1"/>
  <c r="H73" i="3"/>
  <c r="G76"/>
  <c r="F115"/>
  <c r="F117"/>
  <c r="G76" i="7" l="1"/>
  <c r="H73"/>
  <c r="H73" i="4"/>
  <c r="F116" i="3"/>
  <c r="G120"/>
</calcChain>
</file>

<file path=xl/sharedStrings.xml><?xml version="1.0" encoding="utf-8"?>
<sst xmlns="http://schemas.openxmlformats.org/spreadsheetml/2006/main" count="601" uniqueCount="131">
  <si>
    <t>HPLC System Suitability Report</t>
  </si>
  <si>
    <t>Analysis Data</t>
  </si>
  <si>
    <t>Sample(s)</t>
  </si>
  <si>
    <t>Reference Substance:</t>
  </si>
  <si>
    <t>ATAZANAVIR SULFATE /RITONAVIR TABLETS</t>
  </si>
  <si>
    <t>% age Purity:</t>
  </si>
  <si>
    <t>NDQB201607050</t>
  </si>
  <si>
    <t>Weight (mg):</t>
  </si>
  <si>
    <t>ATAZANAVIR, RITONAVIR</t>
  </si>
  <si>
    <t>Standard Conc (mg/mL):</t>
  </si>
  <si>
    <t>Each film tablet contains Atanszavir Sulfate 300 mg, Ritonavir 100 mg</t>
  </si>
  <si>
    <t>2016-07-28 11:50:03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</si>
  <si>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</si>
  <si>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</si>
  <si>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</si>
  <si>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</si>
  <si>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</si>
  <si>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</si>
  <si>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</si>
  <si>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</si>
  <si>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</si>
  <si>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</si>
  <si>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</si>
  <si>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</si>
  <si>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</si>
  <si>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</si>
  <si>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</si>
  <si>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</si>
  <si>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</si>
  <si>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</si>
  <si>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</si>
  <si>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</si>
  <si>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</si>
  <si>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</si>
  <si>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</si>
  <si>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</si>
  <si>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</si>
  <si>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</si>
  <si>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</si>
  <si>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</si>
  <si>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</si>
  <si>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</si>
  <si>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</si>
  <si>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</si>
  <si>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</si>
  <si>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</si>
  <si>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</si>
  <si>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</si>
  <si>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</si>
  <si>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</si>
  <si>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</si>
  <si>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</si>
  <si>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</si>
  <si>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</si>
  <si>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</si>
  <si>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</si>
  <si>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</si>
  <si>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</si>
  <si>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</si>
  <si>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</si>
  <si>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</si>
  <si>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</si>
  <si>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</si>
  <si>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</si>
  <si>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</si>
  <si>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</si>
  <si>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</si>
  <si>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</si>
  <si>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</si>
  <si>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</si>
  <si>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</si>
  <si>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</si>
  <si>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</si>
  <si>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</si>
  <si>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</si>
  <si>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</si>
  <si>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</si>
  <si>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</si>
  <si>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</si>
  <si>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</si>
  <si>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</si>
  <si>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</si>
  <si>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</si>
  <si>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</si>
  <si>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</si>
  <si>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</si>
  <si>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</si>
  <si>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</si>
  <si>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</si>
  <si>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</si>
  <si>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</si>
  <si>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</si>
  <si>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</si>
  <si>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</si>
  <si>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</si>
  <si>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</si>
  <si>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</si>
  <si>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</si>
  <si>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</si>
  <si>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</si>
  <si>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</si>
  <si>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</si>
  <si>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</si>
  <si>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</si>
  <si>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</si>
  <si>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</si>
  <si>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</si>
  <si>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</si>
  <si>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</si>
  <si>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</si>
  <si>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</si>
  <si>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</si>
  <si>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</si>
  <si>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</si>
  <si>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</si>
  <si>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</si>
  <si>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</si>
  <si>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</si>
  <si>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</si>
  <si>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</si>
  <si>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</si>
  <si>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</si>
  <si>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</si>
  <si>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Atazanavir Sulphate</t>
  </si>
  <si>
    <t>A48-2</t>
  </si>
  <si>
    <t>Ritonavir</t>
  </si>
  <si>
    <t>R9-1</t>
  </si>
  <si>
    <t>Atazanavir</t>
  </si>
  <si>
    <t>Atazanazir Sulphate</t>
  </si>
  <si>
    <t>Dr. Sarah Mwangi</t>
  </si>
  <si>
    <t>18th Aug 2016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</si>
</sst>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8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472" t="s">
        <v>29</v>
      </c>
      <c r="B11" s="473"/>
      <c r="C11" s="473"/>
      <c r="D11" s="473"/>
      <c r="E11" s="473"/>
      <c r="F11" s="474"/>
      <c r="G11" s="89"/>
    </row>
    <row r="12" spans="1:7" ht="16.5" customHeight="1">
      <c r="A12" s="471" t="s">
        <v>30</v>
      </c>
      <c r="B12" s="471"/>
      <c r="C12" s="471"/>
      <c r="D12" s="471"/>
      <c r="E12" s="471"/>
      <c r="F12" s="471"/>
      <c r="G12" s="88"/>
    </row>
    <row r="14" spans="1:7" ht="16.5" customHeight="1">
      <c r="A14" s="476" t="s">
        <v>31</v>
      </c>
      <c r="B14" s="476"/>
      <c r="C14" s="58" t="s">
        <v>4</v>
      </c>
    </row>
    <row r="15" spans="1:7" ht="16.5" customHeight="1">
      <c r="A15" s="476" t="s">
        <v>32</v>
      </c>
      <c r="B15" s="476"/>
      <c r="C15" s="58" t="s">
        <v>6</v>
      </c>
    </row>
    <row r="16" spans="1:7" ht="16.5" customHeight="1">
      <c r="A16" s="476" t="s">
        <v>33</v>
      </c>
      <c r="B16" s="476"/>
      <c r="C16" s="58" t="s">
        <v>8</v>
      </c>
    </row>
    <row r="17" spans="1:5" ht="16.5" customHeight="1">
      <c r="A17" s="476" t="s">
        <v>34</v>
      </c>
      <c r="B17" s="476"/>
      <c r="C17" s="58" t="s">
        <v>10</v>
      </c>
    </row>
    <row r="18" spans="1:5" ht="16.5" customHeight="1">
      <c r="A18" s="476" t="s">
        <v>35</v>
      </c>
      <c r="B18" s="476"/>
      <c r="C18" s="95" t="s">
        <v>11</v>
      </c>
    </row>
    <row r="19" spans="1:5" ht="16.5" customHeight="1">
      <c r="A19" s="476" t="s">
        <v>36</v>
      </c>
      <c r="B19" s="476"/>
      <c r="C19" s="95" t="str">
        <f>#REF!</f>
        <v>0</v>
      </c>
    </row>
    <row r="20" spans="1:5" ht="16.5" customHeight="1">
      <c r="A20" s="60"/>
      <c r="B20" s="60"/>
      <c r="C20" s="75"/>
    </row>
    <row r="21" spans="1:5" ht="16.5" customHeight="1">
      <c r="A21" s="471" t="s">
        <v>1</v>
      </c>
      <c r="B21" s="471"/>
      <c r="C21" s="57" t="s">
        <v>37</v>
      </c>
      <c r="D21" s="64"/>
    </row>
    <row r="22" spans="1:5" ht="15.75" customHeight="1">
      <c r="A22" s="475"/>
      <c r="B22" s="475"/>
      <c r="C22" s="55"/>
      <c r="D22" s="475"/>
      <c r="E22" s="475"/>
    </row>
    <row r="23" spans="1:5" ht="33.75" customHeight="1">
      <c r="C23" s="84" t="s">
        <v>38</v>
      </c>
      <c r="D23" s="83" t="s">
        <v>39</v>
      </c>
      <c r="E23" s="50"/>
    </row>
    <row r="24" spans="1:5" ht="15.75" customHeight="1">
      <c r="C24" s="93">
        <v>1975.45</v>
      </c>
      <c r="D24" s="85">
        <f t="shared" ref="D24:D43" si="0">(C24-$C$46)/$C$46</f>
        <v>1.4496166335588999E-3</v>
      </c>
      <c r="E24" s="51"/>
    </row>
    <row r="25" spans="1:5" ht="15.75" customHeight="1">
      <c r="C25" s="93">
        <v>1961.27</v>
      </c>
      <c r="D25" s="86">
        <f t="shared" si="0"/>
        <v>-5.7389001924118997E-3</v>
      </c>
      <c r="E25" s="51"/>
    </row>
    <row r="26" spans="1:5" ht="15.75" customHeight="1">
      <c r="C26" s="93">
        <v>2002.76</v>
      </c>
      <c r="D26" s="86">
        <f t="shared" si="0"/>
        <v>1.5294355316017E-2</v>
      </c>
      <c r="E26" s="51"/>
    </row>
    <row r="27" spans="1:5" ht="15.75" customHeight="1">
      <c r="C27" s="93">
        <v>1995.7</v>
      </c>
      <c r="D27" s="86">
        <f t="shared" si="0"/>
        <v>1.1715305330731E-2</v>
      </c>
      <c r="E27" s="51"/>
    </row>
    <row r="28" spans="1:5" ht="15.75" customHeight="1">
      <c r="C28" s="93">
        <v>1960.37</v>
      </c>
      <c r="D28" s="86">
        <f t="shared" si="0"/>
        <v>-6.1951530233973996E-3</v>
      </c>
      <c r="E28" s="51"/>
    </row>
    <row r="29" spans="1:5" ht="15.75" customHeight="1">
      <c r="C29" s="93">
        <v>1941.82</v>
      </c>
      <c r="D29" s="86">
        <f t="shared" si="0"/>
        <v>-1.5599030817597E-2</v>
      </c>
      <c r="E29" s="51"/>
    </row>
    <row r="30" spans="1:5" ht="15.75" customHeight="1">
      <c r="C30" s="93">
        <v>1987.81</v>
      </c>
      <c r="D30" s="86">
        <f t="shared" si="0"/>
        <v>7.7154888457589997E-3</v>
      </c>
      <c r="E30" s="51"/>
    </row>
    <row r="31" spans="1:5" ht="15.75" customHeight="1">
      <c r="C31" s="93">
        <v>1986.34</v>
      </c>
      <c r="D31" s="86">
        <f t="shared" si="0"/>
        <v>6.9702758884827003E-3</v>
      </c>
      <c r="E31" s="51"/>
    </row>
    <row r="32" spans="1:5" ht="15.75" customHeight="1">
      <c r="C32" s="93">
        <v>1976.65</v>
      </c>
      <c r="D32" s="86">
        <f t="shared" si="0"/>
        <v>2.0579537415394999E-3</v>
      </c>
      <c r="E32" s="51"/>
    </row>
    <row r="33" spans="1:7" ht="15.75" customHeight="1">
      <c r="C33" s="93">
        <v>1938.87</v>
      </c>
      <c r="D33" s="86">
        <f t="shared" si="0"/>
        <v>-1.709452620805E-2</v>
      </c>
      <c r="E33" s="51"/>
    </row>
    <row r="34" spans="1:7" ht="15.75" customHeight="1">
      <c r="C34" s="93">
        <v>1946.9</v>
      </c>
      <c r="D34" s="86">
        <f t="shared" si="0"/>
        <v>-1.3023737060479001E-2</v>
      </c>
      <c r="E34" s="51"/>
    </row>
    <row r="35" spans="1:7" ht="15.75" customHeight="1">
      <c r="C35" s="93">
        <v>1982.8</v>
      </c>
      <c r="D35" s="86">
        <f t="shared" si="0"/>
        <v>5.17568141994E-3</v>
      </c>
      <c r="E35" s="51"/>
    </row>
    <row r="36" spans="1:7" ht="15.75" customHeight="1">
      <c r="C36" s="93">
        <v>1976.86</v>
      </c>
      <c r="D36" s="86">
        <f t="shared" si="0"/>
        <v>2.164412735436E-3</v>
      </c>
      <c r="E36" s="51"/>
    </row>
    <row r="37" spans="1:7" ht="15.75" customHeight="1">
      <c r="C37" s="93">
        <v>1977.6</v>
      </c>
      <c r="D37" s="86">
        <f t="shared" si="0"/>
        <v>2.5395539520241001E-3</v>
      </c>
      <c r="E37" s="51"/>
    </row>
    <row r="38" spans="1:7" ht="15.75" customHeight="1">
      <c r="C38" s="93">
        <v>1969.35</v>
      </c>
      <c r="D38" s="86">
        <f t="shared" si="0"/>
        <v>-1.6427636653425001E-3</v>
      </c>
      <c r="E38" s="51"/>
    </row>
    <row r="39" spans="1:7" ht="15.75" customHeight="1">
      <c r="C39" s="93">
        <v>1984.61</v>
      </c>
      <c r="D39" s="86">
        <f t="shared" si="0"/>
        <v>6.0932565578107004E-3</v>
      </c>
      <c r="E39" s="51"/>
    </row>
    <row r="40" spans="1:7" ht="15.75" customHeight="1">
      <c r="C40" s="93">
        <v>1957.83</v>
      </c>
      <c r="D40" s="86">
        <f t="shared" si="0"/>
        <v>-7.4827999019562996E-3</v>
      </c>
      <c r="E40" s="51"/>
    </row>
    <row r="41" spans="1:7" ht="15.75" customHeight="1">
      <c r="C41" s="93">
        <v>1994.27</v>
      </c>
      <c r="D41" s="86">
        <f t="shared" si="0"/>
        <v>1.0990370277055E-2</v>
      </c>
      <c r="E41" s="51"/>
    </row>
    <row r="42" spans="1:7" ht="15.75" customHeight="1">
      <c r="C42" s="93">
        <v>1969.79</v>
      </c>
      <c r="D42" s="86">
        <f t="shared" si="0"/>
        <v>-1.4197067257495999E-3</v>
      </c>
      <c r="E42" s="51"/>
    </row>
    <row r="43" spans="1:7" ht="16.5" customHeight="1">
      <c r="C43" s="94">
        <v>1964.76</v>
      </c>
      <c r="D43" s="87">
        <f t="shared" si="0"/>
        <v>-3.9696531033683001E-3</v>
      </c>
      <c r="E43" s="51"/>
    </row>
    <row r="44" spans="1:7" ht="16.5" customHeight="1">
      <c r="C44" s="52"/>
      <c r="D44" s="51"/>
      <c r="E44" s="53"/>
    </row>
    <row r="45" spans="1:7" ht="16.5" customHeight="1">
      <c r="B45" s="80" t="s">
        <v>40</v>
      </c>
      <c r="C45" s="81">
        <f>SUM(C24:C44)</f>
        <v>39451.81</v>
      </c>
      <c r="D45" s="76"/>
      <c r="E45" s="52"/>
    </row>
    <row r="46" spans="1:7" ht="17.25" customHeight="1">
      <c r="B46" s="80" t="s">
        <v>41</v>
      </c>
      <c r="C46" s="82">
        <f>AVERAGE(C24:C44)</f>
        <v>1972.5905</v>
      </c>
      <c r="E46" s="54"/>
    </row>
    <row r="47" spans="1:7" ht="17.25" customHeight="1">
      <c r="A47" s="58"/>
      <c r="B47" s="77"/>
      <c r="D47" s="56"/>
      <c r="E47" s="54"/>
    </row>
    <row r="48" spans="1:7" ht="33.75" customHeight="1">
      <c r="B48" s="90" t="s">
        <v>41</v>
      </c>
      <c r="C48" s="83" t="s">
        <v>42</v>
      </c>
      <c r="D48" s="78"/>
      <c r="G48" s="56"/>
    </row>
    <row r="49" spans="1:6" ht="17.25" customHeight="1">
      <c r="B49" s="469">
        <f>C46</f>
        <v>1972.5905</v>
      </c>
      <c r="C49" s="91">
        <f>-IF(C46&lt;=80,10%,IF(C46&lt;250,7.5%,5%))</f>
        <v>-0.05</v>
      </c>
      <c r="D49" s="79">
        <f>IF(C46&lt;=80,C46*0.9,IF(C46&lt;250,C46*0.925,C46*0.95))</f>
        <v>1873.960975</v>
      </c>
    </row>
    <row r="50" spans="1:6" ht="17.25" customHeight="1">
      <c r="B50" s="470"/>
      <c r="C50" s="92">
        <f>IF(C46&lt;=80, 10%, IF(C46&lt;250, 7.5%, 5%))</f>
        <v>0.05</v>
      </c>
      <c r="D50" s="79">
        <f>IF(C46&lt;=80, C46*1.1, IF(C46&lt;250, C46*1.075, C46*1.05))</f>
        <v>2071.2200250000001</v>
      </c>
    </row>
    <row r="51" spans="1:6" ht="16.5" customHeight="1">
      <c r="A51" s="61"/>
      <c r="B51" s="62"/>
      <c r="C51" s="58"/>
      <c r="D51" s="63"/>
      <c r="E51" s="58"/>
      <c r="F51" s="64"/>
    </row>
    <row r="52" spans="1:6" ht="16.5" customHeight="1">
      <c r="A52" s="58"/>
      <c r="B52" s="65" t="s">
        <v>24</v>
      </c>
      <c r="C52" s="65"/>
      <c r="D52" s="66" t="s">
        <v>25</v>
      </c>
      <c r="E52" s="67"/>
      <c r="F52" s="66" t="s">
        <v>26</v>
      </c>
    </row>
    <row r="53" spans="1:6" ht="34.5" customHeight="1">
      <c r="A53" s="68" t="s">
        <v>27</v>
      </c>
      <c r="B53" s="69"/>
      <c r="C53" s="70"/>
      <c r="D53" s="69"/>
      <c r="E53" s="59"/>
      <c r="F53" s="71"/>
    </row>
    <row r="54" spans="1:6" ht="34.5" customHeight="1">
      <c r="A54" s="68" t="s">
        <v>28</v>
      </c>
      <c r="B54" s="72"/>
      <c r="C54" s="73"/>
      <c r="D54" s="72"/>
      <c r="E54" s="59"/>
      <c r="F54" s="74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46" sqref="B46"/>
    </sheetView>
  </sheetViews>
  <sheetFormatPr defaultRowHeight="13.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>
      <c r="A1" s="477" t="s">
        <v>0</v>
      </c>
      <c r="B1" s="477"/>
      <c r="C1" s="477"/>
      <c r="D1" s="477"/>
      <c r="E1" s="477"/>
    </row>
    <row r="2" spans="1:5" ht="16.5" customHeight="1">
      <c r="A2" s="4" t="s">
        <v>1</v>
      </c>
      <c r="B2" s="57" t="s">
        <v>127</v>
      </c>
    </row>
    <row r="3" spans="1:5" ht="16.5" customHeight="1">
      <c r="A3" s="5" t="s">
        <v>2</v>
      </c>
      <c r="B3" s="6" t="s">
        <v>4</v>
      </c>
      <c r="D3" s="7"/>
      <c r="E3" s="8"/>
    </row>
    <row r="4" spans="1:5" ht="16.5" customHeight="1">
      <c r="A4" s="9" t="s">
        <v>3</v>
      </c>
      <c r="B4" s="6" t="s">
        <v>128</v>
      </c>
      <c r="C4" s="8"/>
      <c r="D4" s="8"/>
      <c r="E4" s="8"/>
    </row>
    <row r="5" spans="1:5" ht="16.5" customHeight="1">
      <c r="A5" s="9" t="s">
        <v>5</v>
      </c>
      <c r="B5" s="10">
        <v>100</v>
      </c>
      <c r="C5" s="8"/>
      <c r="D5" s="8"/>
      <c r="E5" s="8"/>
    </row>
    <row r="6" spans="1:5" ht="16.5" customHeight="1">
      <c r="A6" s="5" t="s">
        <v>7</v>
      </c>
      <c r="B6" s="10">
        <f>Atazanavir!D43</f>
        <v>25.73</v>
      </c>
      <c r="C6" s="8"/>
      <c r="D6" s="8"/>
      <c r="E6" s="8"/>
    </row>
    <row r="7" spans="1:5" ht="16.5" customHeight="1">
      <c r="A7" s="5" t="s">
        <v>9</v>
      </c>
      <c r="B7" s="11">
        <f>B6/50</f>
        <v>0.51460000000000006</v>
      </c>
      <c r="C7" s="8"/>
      <c r="D7" s="8"/>
      <c r="E7" s="8"/>
    </row>
    <row r="8" spans="1:5" ht="15.75" customHeight="1">
      <c r="A8" s="8"/>
      <c r="B8" s="8"/>
      <c r="C8" s="8"/>
      <c r="D8" s="8"/>
      <c r="E8" s="8"/>
    </row>
    <row r="9" spans="1:5" ht="16.5" customHeight="1">
      <c r="A9" s="12" t="s">
        <v>12</v>
      </c>
      <c r="B9" s="13" t="s">
        <v>13</v>
      </c>
      <c r="C9" s="12" t="s">
        <v>14</v>
      </c>
      <c r="D9" s="12" t="s">
        <v>15</v>
      </c>
      <c r="E9" s="14" t="s">
        <v>16</v>
      </c>
    </row>
    <row r="10" spans="1:5" ht="16.5" customHeight="1">
      <c r="A10" s="15">
        <v>1</v>
      </c>
      <c r="B10" s="16">
        <v>70221849</v>
      </c>
      <c r="C10" s="16">
        <v>5596.4</v>
      </c>
      <c r="D10" s="17">
        <v>1.2</v>
      </c>
      <c r="E10" s="18">
        <v>4.8</v>
      </c>
    </row>
    <row r="11" spans="1:5" ht="16.5" customHeight="1">
      <c r="A11" s="15">
        <v>2</v>
      </c>
      <c r="B11" s="16">
        <v>70293418</v>
      </c>
      <c r="C11" s="16">
        <v>5586.7</v>
      </c>
      <c r="D11" s="17">
        <v>1.2</v>
      </c>
      <c r="E11" s="17">
        <v>4.8</v>
      </c>
    </row>
    <row r="12" spans="1:5" ht="16.5" customHeight="1">
      <c r="A12" s="15">
        <v>3</v>
      </c>
      <c r="B12" s="16">
        <v>70354532</v>
      </c>
      <c r="C12" s="16">
        <v>5591.8</v>
      </c>
      <c r="D12" s="17">
        <v>1.2</v>
      </c>
      <c r="E12" s="17">
        <v>4.8</v>
      </c>
    </row>
    <row r="13" spans="1:5" ht="16.5" customHeight="1">
      <c r="A13" s="15">
        <v>4</v>
      </c>
      <c r="B13" s="16">
        <v>70449065</v>
      </c>
      <c r="C13" s="16">
        <v>5592.8</v>
      </c>
      <c r="D13" s="17">
        <v>1.2</v>
      </c>
      <c r="E13" s="17">
        <v>4.8</v>
      </c>
    </row>
    <row r="14" spans="1:5" ht="16.5" customHeight="1">
      <c r="A14" s="15">
        <v>5</v>
      </c>
      <c r="B14" s="16">
        <v>70506713</v>
      </c>
      <c r="C14" s="16">
        <v>5643.1</v>
      </c>
      <c r="D14" s="17">
        <v>1.2</v>
      </c>
      <c r="E14" s="17">
        <v>4.8</v>
      </c>
    </row>
    <row r="15" spans="1:5" ht="16.5" customHeight="1">
      <c r="A15" s="15">
        <v>6</v>
      </c>
      <c r="B15" s="19">
        <v>70417895</v>
      </c>
      <c r="C15" s="19">
        <v>5644.5</v>
      </c>
      <c r="D15" s="20">
        <v>1.2</v>
      </c>
      <c r="E15" s="20">
        <v>4.8</v>
      </c>
    </row>
    <row r="16" spans="1:5" ht="16.5" customHeight="1">
      <c r="A16" s="21" t="s">
        <v>17</v>
      </c>
      <c r="B16" s="22">
        <f>AVERAGE(B10:B15)</f>
        <v>70373912</v>
      </c>
      <c r="C16" s="23">
        <f>AVERAGE(C10:C15)</f>
        <v>5609.2166666666662</v>
      </c>
      <c r="D16" s="24">
        <f>AVERAGE(D10:D15)</f>
        <v>1.2</v>
      </c>
      <c r="E16" s="24">
        <f>AVERAGE(E10:E15)</f>
        <v>4.8</v>
      </c>
    </row>
    <row r="17" spans="1:6" ht="16.5" customHeight="1">
      <c r="A17" s="25" t="s">
        <v>18</v>
      </c>
      <c r="B17" s="26">
        <f>(STDEV(B10:B15)/B16)</f>
        <v>1.4929989351246773E-3</v>
      </c>
      <c r="C17" s="27"/>
      <c r="D17" s="27"/>
      <c r="E17" s="28"/>
      <c r="F17" s="2"/>
    </row>
    <row r="18" spans="1:6" s="2" customFormat="1" ht="16.5" customHeight="1">
      <c r="A18" s="29" t="s">
        <v>19</v>
      </c>
      <c r="B18" s="30">
        <f>COUNT(B10:B15)</f>
        <v>6</v>
      </c>
      <c r="C18" s="31"/>
      <c r="D18" s="32"/>
      <c r="E18" s="33"/>
    </row>
    <row r="19" spans="1:6" s="2" customFormat="1" ht="15.75" customHeight="1">
      <c r="A19" s="8"/>
      <c r="B19" s="8"/>
      <c r="C19" s="8"/>
      <c r="D19" s="8"/>
      <c r="E19" s="34"/>
    </row>
    <row r="20" spans="1:6" s="2" customFormat="1" ht="16.5" customHeight="1">
      <c r="A20" s="9" t="s">
        <v>20</v>
      </c>
      <c r="B20" s="35" t="s">
        <v>21</v>
      </c>
      <c r="C20" s="36"/>
      <c r="D20" s="36"/>
      <c r="E20" s="37"/>
    </row>
    <row r="21" spans="1:6" ht="16.5" customHeight="1">
      <c r="A21" s="9"/>
      <c r="B21" s="35" t="s">
        <v>22</v>
      </c>
      <c r="C21" s="36"/>
      <c r="D21" s="36"/>
      <c r="E21" s="37"/>
      <c r="F21" s="2"/>
    </row>
    <row r="22" spans="1:6" ht="16.5" customHeight="1">
      <c r="A22" s="9"/>
      <c r="B22" s="38" t="s">
        <v>23</v>
      </c>
      <c r="C22" s="36"/>
      <c r="D22" s="36"/>
      <c r="E22" s="36"/>
    </row>
    <row r="23" spans="1:6" ht="15.75" customHeight="1">
      <c r="A23" s="8"/>
      <c r="B23" s="8"/>
      <c r="C23" s="8"/>
      <c r="D23" s="8"/>
      <c r="E23" s="8"/>
    </row>
    <row r="24" spans="1:6" ht="16.5" customHeight="1">
      <c r="A24" s="4" t="s">
        <v>1</v>
      </c>
      <c r="B24" s="57" t="s">
        <v>125</v>
      </c>
    </row>
    <row r="25" spans="1:6" ht="16.5" customHeight="1">
      <c r="A25" s="9" t="s">
        <v>3</v>
      </c>
      <c r="B25" s="6" t="s">
        <v>125</v>
      </c>
      <c r="C25" s="8"/>
      <c r="D25" s="8"/>
      <c r="E25" s="8"/>
    </row>
    <row r="26" spans="1:6" ht="16.5" customHeight="1">
      <c r="A26" s="9" t="s">
        <v>5</v>
      </c>
      <c r="B26" s="10">
        <v>99.3</v>
      </c>
      <c r="C26" s="8"/>
      <c r="D26" s="8"/>
      <c r="E26" s="8"/>
    </row>
    <row r="27" spans="1:6" ht="16.5" customHeight="1">
      <c r="A27" s="5" t="s">
        <v>7</v>
      </c>
      <c r="B27" s="10">
        <f>'Ritonavir - 90 min'!D43</f>
        <v>14.25</v>
      </c>
      <c r="C27" s="8"/>
      <c r="D27" s="8"/>
      <c r="E27" s="8"/>
    </row>
    <row r="28" spans="1:6" ht="16.5" customHeight="1">
      <c r="A28" s="5" t="s">
        <v>9</v>
      </c>
      <c r="B28" s="11">
        <f>B27/50</f>
        <v>0.28499999999999998</v>
      </c>
      <c r="C28" s="8"/>
      <c r="D28" s="8"/>
      <c r="E28" s="8"/>
    </row>
    <row r="29" spans="1:6" ht="15.75" customHeight="1">
      <c r="A29" s="8"/>
      <c r="B29" s="8"/>
      <c r="C29" s="8"/>
      <c r="D29" s="8"/>
      <c r="E29" s="8"/>
    </row>
    <row r="30" spans="1:6" ht="16.5" customHeight="1">
      <c r="A30" s="12" t="s">
        <v>12</v>
      </c>
      <c r="B30" s="13" t="s">
        <v>13</v>
      </c>
      <c r="C30" s="12" t="s">
        <v>14</v>
      </c>
      <c r="D30" s="12" t="s">
        <v>15</v>
      </c>
      <c r="E30" s="14" t="s">
        <v>16</v>
      </c>
    </row>
    <row r="31" spans="1:6" ht="16.5" customHeight="1">
      <c r="A31" s="15">
        <v>1</v>
      </c>
      <c r="B31" s="16">
        <v>28885413</v>
      </c>
      <c r="C31" s="16">
        <v>5852.9</v>
      </c>
      <c r="D31" s="17">
        <v>1.1000000000000001</v>
      </c>
      <c r="E31" s="18">
        <v>5.6</v>
      </c>
    </row>
    <row r="32" spans="1:6" ht="16.5" customHeight="1">
      <c r="A32" s="15">
        <v>2</v>
      </c>
      <c r="B32" s="16">
        <v>28888836</v>
      </c>
      <c r="C32" s="16">
        <v>5864.1</v>
      </c>
      <c r="D32" s="17">
        <v>1.1000000000000001</v>
      </c>
      <c r="E32" s="17">
        <v>5.6</v>
      </c>
    </row>
    <row r="33" spans="1:7" ht="16.5" customHeight="1">
      <c r="A33" s="15">
        <v>3</v>
      </c>
      <c r="B33" s="16">
        <v>28866288</v>
      </c>
      <c r="C33" s="16">
        <v>5871.7</v>
      </c>
      <c r="D33" s="17">
        <v>1.1000000000000001</v>
      </c>
      <c r="E33" s="17">
        <v>5.6</v>
      </c>
    </row>
    <row r="34" spans="1:7" ht="16.5" customHeight="1">
      <c r="A34" s="15">
        <v>4</v>
      </c>
      <c r="B34" s="16">
        <v>28886783</v>
      </c>
      <c r="C34" s="16">
        <v>5863.2</v>
      </c>
      <c r="D34" s="17">
        <v>1.1000000000000001</v>
      </c>
      <c r="E34" s="17">
        <v>5.6</v>
      </c>
    </row>
    <row r="35" spans="1:7" ht="16.5" customHeight="1">
      <c r="A35" s="15">
        <v>5</v>
      </c>
      <c r="B35" s="16">
        <v>28979186</v>
      </c>
      <c r="C35" s="16">
        <v>5944</v>
      </c>
      <c r="D35" s="17">
        <v>1.1000000000000001</v>
      </c>
      <c r="E35" s="17">
        <v>5.6</v>
      </c>
    </row>
    <row r="36" spans="1:7" ht="16.5" customHeight="1">
      <c r="A36" s="15">
        <v>6</v>
      </c>
      <c r="B36" s="19">
        <v>28958716</v>
      </c>
      <c r="C36" s="19">
        <v>5945.6</v>
      </c>
      <c r="D36" s="20">
        <v>1.1000000000000001</v>
      </c>
      <c r="E36" s="20">
        <v>5.6</v>
      </c>
    </row>
    <row r="37" spans="1:7" ht="16.5" customHeight="1">
      <c r="A37" s="21" t="s">
        <v>17</v>
      </c>
      <c r="B37" s="22">
        <f>AVERAGE(B31:B36)</f>
        <v>28910870.333333332</v>
      </c>
      <c r="C37" s="23">
        <f>AVERAGE(C31:C36)</f>
        <v>5890.25</v>
      </c>
      <c r="D37" s="24">
        <f>AVERAGE(D31:D36)</f>
        <v>1.0999999999999999</v>
      </c>
      <c r="E37" s="24">
        <f>AVERAGE(E31:E36)</f>
        <v>5.6000000000000005</v>
      </c>
    </row>
    <row r="38" spans="1:7" ht="16.5" customHeight="1">
      <c r="A38" s="25" t="s">
        <v>18</v>
      </c>
      <c r="B38" s="26">
        <f>(STDEV(B31:B36)/B37)</f>
        <v>1.5969221367836519E-3</v>
      </c>
      <c r="C38" s="27"/>
      <c r="D38" s="27"/>
      <c r="E38" s="28"/>
      <c r="F38" s="2"/>
    </row>
    <row r="39" spans="1:7" s="2" customFormat="1" ht="16.5" customHeight="1">
      <c r="A39" s="29" t="s">
        <v>19</v>
      </c>
      <c r="B39" s="30">
        <f>COUNT(B31:B36)</f>
        <v>6</v>
      </c>
      <c r="C39" s="31"/>
      <c r="D39" s="32"/>
      <c r="E39" s="33"/>
    </row>
    <row r="40" spans="1:7" s="2" customFormat="1" ht="15.75" customHeight="1">
      <c r="A40" s="8"/>
      <c r="B40" s="8"/>
      <c r="C40" s="8"/>
      <c r="D40" s="8"/>
      <c r="E40" s="34"/>
    </row>
    <row r="41" spans="1:7" s="2" customFormat="1" ht="16.5" customHeight="1">
      <c r="A41" s="9" t="s">
        <v>20</v>
      </c>
      <c r="B41" s="35" t="s">
        <v>21</v>
      </c>
      <c r="C41" s="36"/>
      <c r="D41" s="36"/>
      <c r="E41" s="37"/>
    </row>
    <row r="42" spans="1:7" ht="16.5" customHeight="1">
      <c r="A42" s="9"/>
      <c r="B42" s="35" t="s">
        <v>22</v>
      </c>
      <c r="C42" s="36"/>
      <c r="D42" s="36"/>
      <c r="E42" s="37"/>
      <c r="F42" s="2"/>
    </row>
    <row r="43" spans="1:7" ht="16.5" customHeight="1">
      <c r="A43" s="9"/>
      <c r="B43" s="38" t="s">
        <v>23</v>
      </c>
      <c r="C43" s="36"/>
      <c r="D43" s="37"/>
      <c r="E43" s="36"/>
    </row>
    <row r="44" spans="1:7" ht="14.25" customHeight="1">
      <c r="A44" s="39"/>
      <c r="B44" s="40"/>
      <c r="D44" s="41"/>
      <c r="F44" s="42"/>
      <c r="G44" s="42"/>
    </row>
    <row r="45" spans="1:7" ht="15" customHeight="1">
      <c r="B45" s="478" t="s">
        <v>24</v>
      </c>
      <c r="C45" s="478"/>
      <c r="E45" s="43" t="s">
        <v>25</v>
      </c>
      <c r="F45" s="44"/>
      <c r="G45" s="43" t="s">
        <v>26</v>
      </c>
    </row>
    <row r="46" spans="1:7" ht="15" customHeight="1">
      <c r="A46" s="45" t="s">
        <v>27</v>
      </c>
      <c r="B46" s="47" t="s">
        <v>129</v>
      </c>
      <c r="C46" s="46"/>
      <c r="E46" s="46"/>
      <c r="F46" s="2"/>
      <c r="G46" s="47"/>
    </row>
    <row r="47" spans="1:7" ht="15" customHeight="1">
      <c r="A47" s="45" t="s">
        <v>28</v>
      </c>
      <c r="B47" s="48"/>
      <c r="C47" s="48"/>
      <c r="E47" s="48"/>
      <c r="F47" s="2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E46" sqref="E46"/>
    </sheetView>
  </sheetViews>
  <sheetFormatPr defaultRowHeight="13.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2"/>
  </cols>
  <sheetData>
    <row r="1" spans="1:5" ht="18.75" customHeight="1">
      <c r="A1" s="477" t="s">
        <v>0</v>
      </c>
      <c r="B1" s="477"/>
      <c r="C1" s="477"/>
      <c r="D1" s="477"/>
      <c r="E1" s="477"/>
    </row>
    <row r="2" spans="1:5" ht="16.5" customHeight="1">
      <c r="A2" s="88" t="s">
        <v>1</v>
      </c>
      <c r="B2" s="57" t="s">
        <v>127</v>
      </c>
    </row>
    <row r="3" spans="1:5" ht="16.5" customHeight="1">
      <c r="A3" s="6" t="s">
        <v>2</v>
      </c>
      <c r="B3" s="6" t="s">
        <v>4</v>
      </c>
      <c r="D3" s="7"/>
      <c r="E3" s="70"/>
    </row>
    <row r="4" spans="1:5" ht="16.5" customHeight="1">
      <c r="A4" s="73" t="s">
        <v>3</v>
      </c>
      <c r="B4" s="6" t="s">
        <v>128</v>
      </c>
      <c r="C4" s="70"/>
      <c r="D4" s="70"/>
      <c r="E4" s="70"/>
    </row>
    <row r="5" spans="1:5" ht="16.5" customHeight="1">
      <c r="A5" s="73" t="s">
        <v>5</v>
      </c>
      <c r="B5" s="10">
        <v>100</v>
      </c>
      <c r="C5" s="70"/>
      <c r="D5" s="70"/>
      <c r="E5" s="70"/>
    </row>
    <row r="6" spans="1:5" ht="16.5" customHeight="1">
      <c r="A6" s="6" t="s">
        <v>7</v>
      </c>
      <c r="B6" s="10">
        <f>Atazanavir!D96</f>
        <v>17.13</v>
      </c>
      <c r="C6" s="70"/>
      <c r="D6" s="70"/>
      <c r="E6" s="70"/>
    </row>
    <row r="7" spans="1:5" ht="16.5" customHeight="1">
      <c r="A7" s="6" t="s">
        <v>9</v>
      </c>
      <c r="B7" s="11">
        <v>0.34</v>
      </c>
      <c r="C7" s="70"/>
      <c r="D7" s="70"/>
      <c r="E7" s="70"/>
    </row>
    <row r="8" spans="1:5" ht="15.75" customHeight="1">
      <c r="A8" s="70"/>
      <c r="B8" s="70"/>
      <c r="C8" s="70"/>
      <c r="D8" s="70"/>
      <c r="E8" s="70"/>
    </row>
    <row r="9" spans="1:5" ht="16.5" customHeight="1">
      <c r="A9" s="14" t="s">
        <v>12</v>
      </c>
      <c r="B9" s="13" t="s">
        <v>13</v>
      </c>
      <c r="C9" s="14" t="s">
        <v>14</v>
      </c>
      <c r="D9" s="14" t="s">
        <v>15</v>
      </c>
      <c r="E9" s="14" t="s">
        <v>16</v>
      </c>
    </row>
    <row r="10" spans="1:5" ht="16.5" customHeight="1">
      <c r="A10" s="15">
        <v>1</v>
      </c>
      <c r="B10" s="16">
        <v>95267704</v>
      </c>
      <c r="C10" s="16">
        <v>8450.2000000000007</v>
      </c>
      <c r="D10" s="17">
        <v>1</v>
      </c>
      <c r="E10" s="18">
        <v>9</v>
      </c>
    </row>
    <row r="11" spans="1:5" ht="16.5" customHeight="1">
      <c r="A11" s="15">
        <v>2</v>
      </c>
      <c r="B11" s="16">
        <v>95751229</v>
      </c>
      <c r="C11" s="16">
        <v>8533.2999999999993</v>
      </c>
      <c r="D11" s="17">
        <v>1</v>
      </c>
      <c r="E11" s="17">
        <v>9.1</v>
      </c>
    </row>
    <row r="12" spans="1:5" ht="16.5" customHeight="1">
      <c r="A12" s="15">
        <v>3</v>
      </c>
      <c r="B12" s="16">
        <v>95417778</v>
      </c>
      <c r="C12" s="16">
        <v>8547.4</v>
      </c>
      <c r="D12" s="17">
        <v>1</v>
      </c>
      <c r="E12" s="17">
        <v>9</v>
      </c>
    </row>
    <row r="13" spans="1:5" ht="16.5" customHeight="1">
      <c r="A13" s="15">
        <v>4</v>
      </c>
      <c r="B13" s="16">
        <v>95413958</v>
      </c>
      <c r="C13" s="16">
        <v>8575.2000000000007</v>
      </c>
      <c r="D13" s="17">
        <v>1</v>
      </c>
      <c r="E13" s="17">
        <v>9</v>
      </c>
    </row>
    <row r="14" spans="1:5" ht="16.5" customHeight="1">
      <c r="A14" s="15">
        <v>5</v>
      </c>
      <c r="B14" s="16">
        <v>95412327</v>
      </c>
      <c r="C14" s="16">
        <v>8617.6</v>
      </c>
      <c r="D14" s="17">
        <v>1</v>
      </c>
      <c r="E14" s="17">
        <v>9</v>
      </c>
    </row>
    <row r="15" spans="1:5" ht="16.5" customHeight="1">
      <c r="A15" s="15">
        <v>6</v>
      </c>
      <c r="B15" s="19">
        <v>95249160</v>
      </c>
      <c r="C15" s="19">
        <v>8621.7999999999993</v>
      </c>
      <c r="D15" s="20">
        <v>1</v>
      </c>
      <c r="E15" s="20">
        <v>9.1</v>
      </c>
    </row>
    <row r="16" spans="1:5" ht="16.5" customHeight="1">
      <c r="A16" s="21" t="s">
        <v>17</v>
      </c>
      <c r="B16" s="22">
        <f>AVERAGE(B10:B15)</f>
        <v>95418692.666666672</v>
      </c>
      <c r="C16" s="23">
        <f>AVERAGE(C10:C15)</f>
        <v>8557.5833333333339</v>
      </c>
      <c r="D16" s="24">
        <f>AVERAGE(D10:D15)</f>
        <v>1</v>
      </c>
      <c r="E16" s="24">
        <f>AVERAGE(E10:E15)</f>
        <v>9.0333333333333332</v>
      </c>
    </row>
    <row r="17" spans="1:5" ht="16.5" customHeight="1">
      <c r="A17" s="25" t="s">
        <v>18</v>
      </c>
      <c r="B17" s="26">
        <f>(STDEV(B10:B15)/B16)</f>
        <v>1.8874885351738342E-3</v>
      </c>
      <c r="C17" s="27"/>
      <c r="D17" s="27"/>
      <c r="E17" s="28"/>
    </row>
    <row r="18" spans="1:5" s="408" customFormat="1" ht="16.5" customHeight="1">
      <c r="A18" s="29" t="s">
        <v>19</v>
      </c>
      <c r="B18" s="30">
        <f>COUNT(B10:B15)</f>
        <v>6</v>
      </c>
      <c r="C18" s="31"/>
      <c r="D18" s="71"/>
      <c r="E18" s="33"/>
    </row>
    <row r="19" spans="1:5" s="408" customFormat="1" ht="15.75" customHeight="1">
      <c r="A19" s="70"/>
      <c r="B19" s="70"/>
      <c r="C19" s="70"/>
      <c r="D19" s="70"/>
      <c r="E19" s="70"/>
    </row>
    <row r="20" spans="1:5" s="408" customFormat="1" ht="16.5" customHeight="1">
      <c r="A20" s="73" t="s">
        <v>20</v>
      </c>
      <c r="B20" s="38" t="s">
        <v>21</v>
      </c>
      <c r="C20" s="37"/>
      <c r="D20" s="37"/>
      <c r="E20" s="37"/>
    </row>
    <row r="21" spans="1:5" ht="16.5" customHeight="1">
      <c r="A21" s="73"/>
      <c r="B21" s="38" t="s">
        <v>22</v>
      </c>
      <c r="C21" s="37"/>
      <c r="D21" s="37"/>
      <c r="E21" s="37"/>
    </row>
    <row r="22" spans="1:5" ht="16.5" customHeight="1">
      <c r="A22" s="73"/>
      <c r="B22" s="38" t="s">
        <v>23</v>
      </c>
      <c r="C22" s="37"/>
      <c r="D22" s="37"/>
      <c r="E22" s="37"/>
    </row>
    <row r="23" spans="1:5" ht="15.75" customHeight="1">
      <c r="A23" s="70"/>
      <c r="B23" s="70"/>
      <c r="C23" s="70"/>
      <c r="D23" s="70"/>
      <c r="E23" s="70"/>
    </row>
    <row r="24" spans="1:5" ht="16.5" customHeight="1">
      <c r="A24" s="88" t="s">
        <v>1</v>
      </c>
      <c r="B24" s="57" t="s">
        <v>125</v>
      </c>
    </row>
    <row r="25" spans="1:5" ht="16.5" customHeight="1">
      <c r="A25" s="73" t="s">
        <v>3</v>
      </c>
      <c r="B25" s="6" t="s">
        <v>125</v>
      </c>
      <c r="C25" s="70"/>
      <c r="D25" s="70"/>
      <c r="E25" s="70"/>
    </row>
    <row r="26" spans="1:5" ht="16.5" customHeight="1">
      <c r="A26" s="73" t="s">
        <v>5</v>
      </c>
      <c r="B26" s="10">
        <v>99.3</v>
      </c>
      <c r="C26" s="70"/>
      <c r="D26" s="70"/>
      <c r="E26" s="70"/>
    </row>
    <row r="27" spans="1:5" ht="16.5" customHeight="1">
      <c r="A27" s="6" t="s">
        <v>7</v>
      </c>
      <c r="B27" s="10">
        <f>'Ritonavir - 90 min'!D96</f>
        <v>8.69</v>
      </c>
      <c r="C27" s="70"/>
      <c r="D27" s="70"/>
      <c r="E27" s="70"/>
    </row>
    <row r="28" spans="1:5" ht="16.5" customHeight="1">
      <c r="A28" s="6" t="s">
        <v>9</v>
      </c>
      <c r="B28" s="11">
        <v>0.17</v>
      </c>
      <c r="C28" s="70"/>
      <c r="D28" s="70"/>
      <c r="E28" s="70"/>
    </row>
    <row r="29" spans="1:5" ht="15.75" customHeight="1">
      <c r="A29" s="70"/>
      <c r="B29" s="70"/>
      <c r="C29" s="70"/>
      <c r="D29" s="70"/>
      <c r="E29" s="70"/>
    </row>
    <row r="30" spans="1:5" ht="16.5" customHeight="1">
      <c r="A30" s="14" t="s">
        <v>12</v>
      </c>
      <c r="B30" s="13" t="s">
        <v>13</v>
      </c>
      <c r="C30" s="14" t="s">
        <v>14</v>
      </c>
      <c r="D30" s="14" t="s">
        <v>15</v>
      </c>
      <c r="E30" s="14" t="s">
        <v>16</v>
      </c>
    </row>
    <row r="31" spans="1:5" ht="16.5" customHeight="1">
      <c r="A31" s="15">
        <v>1</v>
      </c>
      <c r="B31" s="16">
        <v>35892196</v>
      </c>
      <c r="C31" s="16">
        <v>9281.4</v>
      </c>
      <c r="D31" s="17">
        <v>1</v>
      </c>
      <c r="E31" s="18">
        <v>11.7</v>
      </c>
    </row>
    <row r="32" spans="1:5" ht="16.5" customHeight="1">
      <c r="A32" s="15">
        <v>2</v>
      </c>
      <c r="B32" s="16">
        <v>35963990</v>
      </c>
      <c r="C32" s="16">
        <v>9249.1</v>
      </c>
      <c r="D32" s="17">
        <v>1</v>
      </c>
      <c r="E32" s="17">
        <v>11.7</v>
      </c>
    </row>
    <row r="33" spans="1:7" ht="16.5" customHeight="1">
      <c r="A33" s="15">
        <v>3</v>
      </c>
      <c r="B33" s="16">
        <v>35869603</v>
      </c>
      <c r="C33" s="16">
        <v>9243.2000000000007</v>
      </c>
      <c r="D33" s="17">
        <v>1</v>
      </c>
      <c r="E33" s="17">
        <v>11.7</v>
      </c>
    </row>
    <row r="34" spans="1:7" ht="16.5" customHeight="1">
      <c r="A34" s="15">
        <v>4</v>
      </c>
      <c r="B34" s="16">
        <v>35932552</v>
      </c>
      <c r="C34" s="16">
        <v>9230.2000000000007</v>
      </c>
      <c r="D34" s="17">
        <v>1</v>
      </c>
      <c r="E34" s="17">
        <v>11.7</v>
      </c>
    </row>
    <row r="35" spans="1:7" ht="16.5" customHeight="1">
      <c r="A35" s="15">
        <v>5</v>
      </c>
      <c r="B35" s="16">
        <v>35929048</v>
      </c>
      <c r="C35" s="16">
        <v>9281.2999999999993</v>
      </c>
      <c r="D35" s="17">
        <v>1</v>
      </c>
      <c r="E35" s="17">
        <v>11.7</v>
      </c>
    </row>
    <row r="36" spans="1:7" ht="16.5" customHeight="1">
      <c r="A36" s="15">
        <v>6</v>
      </c>
      <c r="B36" s="19">
        <v>35913166</v>
      </c>
      <c r="C36" s="19">
        <v>9307.7000000000007</v>
      </c>
      <c r="D36" s="20">
        <v>1</v>
      </c>
      <c r="E36" s="20">
        <v>11.7</v>
      </c>
    </row>
    <row r="37" spans="1:7" ht="16.5" customHeight="1">
      <c r="A37" s="21" t="s">
        <v>17</v>
      </c>
      <c r="B37" s="22">
        <f>AVERAGE(B31:B36)</f>
        <v>35916759.166666664</v>
      </c>
      <c r="C37" s="23">
        <f>AVERAGE(C31:C36)</f>
        <v>9265.4833333333318</v>
      </c>
      <c r="D37" s="24">
        <f>AVERAGE(D31:D36)</f>
        <v>1</v>
      </c>
      <c r="E37" s="24">
        <f>AVERAGE(E31:E36)</f>
        <v>11.700000000000001</v>
      </c>
    </row>
    <row r="38" spans="1:7" ht="16.5" customHeight="1">
      <c r="A38" s="25" t="s">
        <v>18</v>
      </c>
      <c r="B38" s="26">
        <f>(STDEV(B31:B36)/B37)</f>
        <v>9.2099432716490916E-4</v>
      </c>
      <c r="C38" s="27"/>
      <c r="D38" s="27"/>
      <c r="E38" s="28"/>
    </row>
    <row r="39" spans="1:7" s="408" customFormat="1" ht="16.5" customHeight="1">
      <c r="A39" s="29" t="s">
        <v>19</v>
      </c>
      <c r="B39" s="30">
        <f>COUNT(B31:B36)</f>
        <v>6</v>
      </c>
      <c r="C39" s="31"/>
      <c r="D39" s="71"/>
      <c r="E39" s="33"/>
    </row>
    <row r="40" spans="1:7" s="408" customFormat="1" ht="15.75" customHeight="1">
      <c r="A40" s="70"/>
      <c r="B40" s="70"/>
      <c r="C40" s="70"/>
      <c r="D40" s="70"/>
      <c r="E40" s="70"/>
    </row>
    <row r="41" spans="1:7" s="408" customFormat="1" ht="16.5" customHeight="1">
      <c r="A41" s="73" t="s">
        <v>20</v>
      </c>
      <c r="B41" s="38" t="s">
        <v>21</v>
      </c>
      <c r="C41" s="37"/>
      <c r="D41" s="37"/>
      <c r="E41" s="37"/>
    </row>
    <row r="42" spans="1:7" ht="16.5" customHeight="1">
      <c r="A42" s="73"/>
      <c r="B42" s="38" t="s">
        <v>22</v>
      </c>
      <c r="C42" s="37"/>
      <c r="D42" s="37"/>
      <c r="E42" s="37"/>
    </row>
    <row r="43" spans="1:7" ht="16.5" customHeight="1">
      <c r="A43" s="73"/>
      <c r="B43" s="38" t="s">
        <v>23</v>
      </c>
      <c r="C43" s="37"/>
      <c r="D43" s="37"/>
      <c r="E43" s="37"/>
    </row>
    <row r="44" spans="1:7" ht="14.25" customHeight="1" thickBot="1">
      <c r="A44" s="39"/>
      <c r="B44" s="331"/>
      <c r="D44" s="41"/>
      <c r="F44" s="42"/>
      <c r="G44" s="42"/>
    </row>
    <row r="45" spans="1:7" ht="15" customHeight="1">
      <c r="B45" s="478" t="s">
        <v>24</v>
      </c>
      <c r="C45" s="478"/>
      <c r="E45" s="462" t="s">
        <v>25</v>
      </c>
      <c r="F45" s="44"/>
      <c r="G45" s="462" t="s">
        <v>26</v>
      </c>
    </row>
    <row r="46" spans="1:7" ht="15" customHeight="1">
      <c r="A46" s="45" t="s">
        <v>27</v>
      </c>
      <c r="B46" s="47" t="s">
        <v>129</v>
      </c>
      <c r="C46" s="47"/>
      <c r="E46" s="47" t="s">
        <v>130</v>
      </c>
      <c r="G46" s="47"/>
    </row>
    <row r="47" spans="1:7" ht="15" customHeight="1">
      <c r="A47" s="45" t="s">
        <v>28</v>
      </c>
      <c r="B47" s="48"/>
      <c r="C47" s="48"/>
      <c r="E47" s="48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67" zoomScale="50" zoomScaleNormal="60" zoomScaleSheetLayoutView="50" zoomScalePageLayoutView="55" workbookViewId="0">
      <selection activeCell="C108" sqref="C108:F116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07" t="s">
        <v>43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>
      <c r="A7" s="507"/>
      <c r="B7" s="507"/>
      <c r="C7" s="507"/>
      <c r="D7" s="507"/>
      <c r="E7" s="507"/>
      <c r="F7" s="507"/>
      <c r="G7" s="507"/>
      <c r="H7" s="507"/>
      <c r="I7" s="507"/>
    </row>
    <row r="8" spans="1:9">
      <c r="A8" s="508" t="s">
        <v>44</v>
      </c>
      <c r="B8" s="508"/>
      <c r="C8" s="508"/>
      <c r="D8" s="508"/>
      <c r="E8" s="508"/>
      <c r="F8" s="508"/>
      <c r="G8" s="508"/>
      <c r="H8" s="508"/>
      <c r="I8" s="508"/>
    </row>
    <row r="9" spans="1:9">
      <c r="A9" s="508"/>
      <c r="B9" s="508"/>
      <c r="C9" s="508"/>
      <c r="D9" s="508"/>
      <c r="E9" s="508"/>
      <c r="F9" s="508"/>
      <c r="G9" s="508"/>
      <c r="H9" s="508"/>
      <c r="I9" s="508"/>
    </row>
    <row r="10" spans="1:9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>
      <c r="A15" s="96"/>
    </row>
    <row r="16" spans="1:9" ht="19.5" customHeight="1">
      <c r="A16" s="480" t="s">
        <v>29</v>
      </c>
      <c r="B16" s="481"/>
      <c r="C16" s="481"/>
      <c r="D16" s="481"/>
      <c r="E16" s="481"/>
      <c r="F16" s="481"/>
      <c r="G16" s="481"/>
      <c r="H16" s="482"/>
    </row>
    <row r="17" spans="1:14" ht="20.25" customHeight="1">
      <c r="A17" s="483" t="s">
        <v>45</v>
      </c>
      <c r="B17" s="483"/>
      <c r="C17" s="483"/>
      <c r="D17" s="483"/>
      <c r="E17" s="483"/>
      <c r="F17" s="483"/>
      <c r="G17" s="483"/>
      <c r="H17" s="483"/>
    </row>
    <row r="18" spans="1:14" ht="26.25" customHeight="1">
      <c r="A18" s="98" t="s">
        <v>31</v>
      </c>
      <c r="B18" s="479" t="s">
        <v>4</v>
      </c>
      <c r="C18" s="479"/>
      <c r="D18" s="265"/>
      <c r="E18" s="99"/>
      <c r="F18" s="100"/>
      <c r="G18" s="100"/>
      <c r="H18" s="100"/>
    </row>
    <row r="19" spans="1:14" ht="26.25" customHeight="1">
      <c r="A19" s="98" t="s">
        <v>32</v>
      </c>
      <c r="B19" s="101" t="s">
        <v>6</v>
      </c>
      <c r="C19" s="278">
        <v>29</v>
      </c>
      <c r="D19" s="100"/>
      <c r="E19" s="100"/>
      <c r="F19" s="100"/>
      <c r="G19" s="100"/>
      <c r="H19" s="100"/>
    </row>
    <row r="20" spans="1:14" ht="26.25" customHeight="1">
      <c r="A20" s="98" t="s">
        <v>33</v>
      </c>
      <c r="B20" s="484" t="s">
        <v>8</v>
      </c>
      <c r="C20" s="484"/>
      <c r="D20" s="100"/>
      <c r="E20" s="100"/>
      <c r="F20" s="100"/>
      <c r="G20" s="100"/>
      <c r="H20" s="100"/>
    </row>
    <row r="21" spans="1:14" ht="26.25" customHeight="1">
      <c r="A21" s="98" t="s">
        <v>34</v>
      </c>
      <c r="B21" s="484" t="s">
        <v>10</v>
      </c>
      <c r="C21" s="484"/>
      <c r="D21" s="484"/>
      <c r="E21" s="484"/>
      <c r="F21" s="484"/>
      <c r="G21" s="484"/>
      <c r="H21" s="484"/>
      <c r="I21" s="102"/>
    </row>
    <row r="22" spans="1:14" ht="26.25" customHeight="1">
      <c r="A22" s="98" t="s">
        <v>35</v>
      </c>
      <c r="B22" s="103">
        <v>42592</v>
      </c>
      <c r="C22" s="100"/>
      <c r="D22" s="100"/>
      <c r="E22" s="100"/>
      <c r="F22" s="100"/>
      <c r="G22" s="100"/>
      <c r="H22" s="100"/>
    </row>
    <row r="23" spans="1:14" ht="26.25" customHeight="1">
      <c r="A23" s="98" t="s">
        <v>36</v>
      </c>
      <c r="B23" s="103">
        <v>42597</v>
      </c>
      <c r="C23" s="100"/>
      <c r="D23" s="100"/>
      <c r="E23" s="100"/>
      <c r="F23" s="100"/>
      <c r="G23" s="100"/>
      <c r="H23" s="100"/>
    </row>
    <row r="24" spans="1:14" ht="18.75">
      <c r="A24" s="98"/>
      <c r="B24" s="104"/>
    </row>
    <row r="25" spans="1:14" ht="18.75">
      <c r="A25" s="105" t="s">
        <v>1</v>
      </c>
      <c r="B25" s="104"/>
    </row>
    <row r="26" spans="1:14" ht="26.25" customHeight="1">
      <c r="A26" s="106" t="s">
        <v>3</v>
      </c>
      <c r="B26" s="479" t="s">
        <v>123</v>
      </c>
      <c r="C26" s="479"/>
    </row>
    <row r="27" spans="1:14" ht="26.25" customHeight="1">
      <c r="A27" s="107" t="s">
        <v>46</v>
      </c>
      <c r="B27" s="485" t="s">
        <v>124</v>
      </c>
      <c r="C27" s="485"/>
    </row>
    <row r="28" spans="1:14" ht="27" customHeight="1">
      <c r="A28" s="107" t="s">
        <v>5</v>
      </c>
      <c r="B28" s="108">
        <v>100</v>
      </c>
    </row>
    <row r="29" spans="1:14" s="12" customFormat="1" ht="27" customHeight="1">
      <c r="A29" s="107" t="s">
        <v>47</v>
      </c>
      <c r="B29" s="109">
        <v>0</v>
      </c>
      <c r="C29" s="486" t="s">
        <v>48</v>
      </c>
      <c r="D29" s="487"/>
      <c r="E29" s="487"/>
      <c r="F29" s="487"/>
      <c r="G29" s="488"/>
      <c r="I29" s="110"/>
      <c r="J29" s="110"/>
      <c r="K29" s="110"/>
      <c r="L29" s="110"/>
    </row>
    <row r="30" spans="1:14" s="12" customFormat="1" ht="19.5" customHeight="1">
      <c r="A30" s="107" t="s">
        <v>49</v>
      </c>
      <c r="B30" s="111">
        <f>B28-B29</f>
        <v>100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2" customFormat="1" ht="27" customHeight="1">
      <c r="A31" s="107" t="s">
        <v>50</v>
      </c>
      <c r="B31" s="114">
        <v>704.85599999999999</v>
      </c>
      <c r="C31" s="489" t="s">
        <v>51</v>
      </c>
      <c r="D31" s="490"/>
      <c r="E31" s="490"/>
      <c r="F31" s="490"/>
      <c r="G31" s="490"/>
      <c r="H31" s="491"/>
      <c r="I31" s="110"/>
      <c r="J31" s="110"/>
      <c r="K31" s="110"/>
      <c r="L31" s="110"/>
    </row>
    <row r="32" spans="1:14" s="12" customFormat="1" ht="27" customHeight="1">
      <c r="A32" s="107" t="s">
        <v>52</v>
      </c>
      <c r="B32" s="114">
        <v>802.93299999999999</v>
      </c>
      <c r="C32" s="489" t="s">
        <v>53</v>
      </c>
      <c r="D32" s="490"/>
      <c r="E32" s="490"/>
      <c r="F32" s="490"/>
      <c r="G32" s="490"/>
      <c r="H32" s="491"/>
      <c r="I32" s="110"/>
      <c r="J32" s="110"/>
      <c r="K32" s="110"/>
      <c r="L32" s="115"/>
      <c r="M32" s="115"/>
      <c r="N32" s="116"/>
    </row>
    <row r="33" spans="1:14" s="12" customFormat="1" ht="17.25" customHeight="1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2" customFormat="1" ht="18.75">
      <c r="A34" s="107" t="s">
        <v>54</v>
      </c>
      <c r="B34" s="119">
        <f>B31/B32</f>
        <v>0.87785157665708102</v>
      </c>
      <c r="C34" s="97" t="s">
        <v>55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2" customFormat="1" ht="19.5" customHeight="1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2" customFormat="1" ht="27" customHeight="1">
      <c r="A36" s="120" t="s">
        <v>56</v>
      </c>
      <c r="B36" s="121">
        <v>50</v>
      </c>
      <c r="C36" s="97"/>
      <c r="D36" s="492" t="s">
        <v>57</v>
      </c>
      <c r="E36" s="493"/>
      <c r="F36" s="492" t="s">
        <v>58</v>
      </c>
      <c r="G36" s="494"/>
      <c r="J36" s="110"/>
      <c r="K36" s="110"/>
      <c r="L36" s="115"/>
      <c r="M36" s="115"/>
      <c r="N36" s="116"/>
    </row>
    <row r="37" spans="1:14" s="12" customFormat="1" ht="27" customHeight="1">
      <c r="A37" s="122" t="s">
        <v>59</v>
      </c>
      <c r="B37" s="123">
        <v>1</v>
      </c>
      <c r="C37" s="124" t="s">
        <v>60</v>
      </c>
      <c r="D37" s="125" t="s">
        <v>61</v>
      </c>
      <c r="E37" s="126" t="s">
        <v>62</v>
      </c>
      <c r="F37" s="125" t="s">
        <v>61</v>
      </c>
      <c r="G37" s="127" t="s">
        <v>62</v>
      </c>
      <c r="I37" s="128" t="s">
        <v>63</v>
      </c>
      <c r="J37" s="110"/>
      <c r="K37" s="110"/>
      <c r="L37" s="115"/>
      <c r="M37" s="115"/>
      <c r="N37" s="116"/>
    </row>
    <row r="38" spans="1:14" s="12" customFormat="1" ht="26.25" customHeight="1">
      <c r="A38" s="122" t="s">
        <v>64</v>
      </c>
      <c r="B38" s="123">
        <v>1</v>
      </c>
      <c r="C38" s="129">
        <v>1</v>
      </c>
      <c r="D38" s="130">
        <v>70611049</v>
      </c>
      <c r="E38" s="131">
        <f>IF(ISBLANK(D38),"-",$D$48/$D$45*D38)</f>
        <v>75027940.52168557</v>
      </c>
      <c r="F38" s="130">
        <v>77984084</v>
      </c>
      <c r="G38" s="132">
        <f>IF(ISBLANK(F38),"-",$D$48/$F$45*F38)</f>
        <v>75390516.453945532</v>
      </c>
      <c r="I38" s="133"/>
      <c r="J38" s="110"/>
      <c r="K38" s="110"/>
      <c r="L38" s="115"/>
      <c r="M38" s="115"/>
      <c r="N38" s="116"/>
    </row>
    <row r="39" spans="1:14" s="12" customFormat="1" ht="26.25" customHeight="1">
      <c r="A39" s="122" t="s">
        <v>65</v>
      </c>
      <c r="B39" s="123">
        <v>1</v>
      </c>
      <c r="C39" s="134">
        <v>2</v>
      </c>
      <c r="D39" s="135">
        <v>71132868</v>
      </c>
      <c r="E39" s="136">
        <f>IF(ISBLANK(D39),"-",$D$48/$D$45*D39)</f>
        <v>75582400.559449434</v>
      </c>
      <c r="F39" s="135">
        <v>78151038</v>
      </c>
      <c r="G39" s="137">
        <f>IF(ISBLANK(F39),"-",$D$48/$F$45*F39)</f>
        <v>75551917.955873176</v>
      </c>
      <c r="I39" s="496">
        <f>ABS((F43/D43*D42)-F42)/D42</f>
        <v>1.8640507619147675E-3</v>
      </c>
      <c r="J39" s="110"/>
      <c r="K39" s="110"/>
      <c r="L39" s="115"/>
      <c r="M39" s="115"/>
      <c r="N39" s="116"/>
    </row>
    <row r="40" spans="1:14" ht="26.25" customHeight="1">
      <c r="A40" s="122" t="s">
        <v>66</v>
      </c>
      <c r="B40" s="123">
        <v>1</v>
      </c>
      <c r="C40" s="134">
        <v>3</v>
      </c>
      <c r="D40" s="135">
        <v>71092396</v>
      </c>
      <c r="E40" s="136">
        <f>IF(ISBLANK(D40),"-",$D$48/$D$45*D40)</f>
        <v>75539396.93817772</v>
      </c>
      <c r="F40" s="135">
        <v>78191306</v>
      </c>
      <c r="G40" s="137">
        <f>IF(ISBLANK(F40),"-",$D$48/$F$45*F40)</f>
        <v>75590846.736732706</v>
      </c>
      <c r="I40" s="496"/>
      <c r="L40" s="115"/>
      <c r="M40" s="115"/>
      <c r="N40" s="138"/>
    </row>
    <row r="41" spans="1:14" ht="27" customHeight="1">
      <c r="A41" s="122" t="s">
        <v>67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>
      <c r="A42" s="122" t="s">
        <v>68</v>
      </c>
      <c r="B42" s="123">
        <v>1</v>
      </c>
      <c r="C42" s="144" t="s">
        <v>69</v>
      </c>
      <c r="D42" s="145">
        <f>AVERAGE(D38:D41)</f>
        <v>70945437.666666672</v>
      </c>
      <c r="E42" s="146">
        <f>AVERAGE(E38:E41)</f>
        <v>75383246.006437585</v>
      </c>
      <c r="F42" s="145">
        <f>AVERAGE(F38:F41)</f>
        <v>78108809.333333328</v>
      </c>
      <c r="G42" s="147">
        <f>AVERAGE(G38:G41)</f>
        <v>75511093.715517148</v>
      </c>
      <c r="H42" s="148"/>
    </row>
    <row r="43" spans="1:14" ht="26.25" customHeight="1">
      <c r="A43" s="122" t="s">
        <v>70</v>
      </c>
      <c r="B43" s="123">
        <v>1</v>
      </c>
      <c r="C43" s="149" t="s">
        <v>71</v>
      </c>
      <c r="D43" s="150">
        <v>25.73</v>
      </c>
      <c r="E43" s="138"/>
      <c r="F43" s="150">
        <v>28.28</v>
      </c>
      <c r="H43" s="148"/>
    </row>
    <row r="44" spans="1:14" ht="26.25" customHeight="1">
      <c r="A44" s="122" t="s">
        <v>72</v>
      </c>
      <c r="B44" s="123">
        <v>1</v>
      </c>
      <c r="C44" s="151" t="s">
        <v>73</v>
      </c>
      <c r="D44" s="152">
        <f>D43*$B$34</f>
        <v>22.587121067386693</v>
      </c>
      <c r="E44" s="153"/>
      <c r="F44" s="152">
        <f>F43*$B$34</f>
        <v>24.825642587862252</v>
      </c>
      <c r="H44" s="148"/>
    </row>
    <row r="45" spans="1:14" ht="19.5" customHeight="1">
      <c r="A45" s="122" t="s">
        <v>74</v>
      </c>
      <c r="B45" s="154">
        <f>(B44/B43)*(B42/B41)*(B40/B39)*(B38/B37)*B36</f>
        <v>50</v>
      </c>
      <c r="C45" s="151" t="s">
        <v>75</v>
      </c>
      <c r="D45" s="155">
        <f>D44*$B$30/100</f>
        <v>22.587121067386693</v>
      </c>
      <c r="E45" s="156"/>
      <c r="F45" s="155">
        <f>F44*$B$30/100</f>
        <v>24.825642587862252</v>
      </c>
      <c r="H45" s="148"/>
    </row>
    <row r="46" spans="1:14" ht="19.5" customHeight="1">
      <c r="A46" s="497" t="s">
        <v>76</v>
      </c>
      <c r="B46" s="498"/>
      <c r="C46" s="151" t="s">
        <v>77</v>
      </c>
      <c r="D46" s="157">
        <f>D45/$B$45</f>
        <v>0.45174242134773385</v>
      </c>
      <c r="E46" s="158"/>
      <c r="F46" s="159">
        <f>F45/$B$45</f>
        <v>0.49651285175724502</v>
      </c>
      <c r="H46" s="148"/>
    </row>
    <row r="47" spans="1:14" ht="27" customHeight="1">
      <c r="A47" s="499"/>
      <c r="B47" s="500"/>
      <c r="C47" s="160" t="s">
        <v>78</v>
      </c>
      <c r="D47" s="161">
        <v>0.48</v>
      </c>
      <c r="E47" s="162"/>
      <c r="F47" s="158"/>
      <c r="H47" s="148"/>
    </row>
    <row r="48" spans="1:14" ht="18.75">
      <c r="C48" s="163" t="s">
        <v>79</v>
      </c>
      <c r="D48" s="155">
        <f>D47*$B$45</f>
        <v>24</v>
      </c>
      <c r="F48" s="164"/>
      <c r="H48" s="148"/>
    </row>
    <row r="49" spans="1:12" ht="19.5" customHeight="1">
      <c r="C49" s="165" t="s">
        <v>80</v>
      </c>
      <c r="D49" s="166">
        <f>D48/B34</f>
        <v>27.339473594606556</v>
      </c>
      <c r="F49" s="164"/>
      <c r="H49" s="148"/>
    </row>
    <row r="50" spans="1:12" ht="18.75">
      <c r="C50" s="120" t="s">
        <v>81</v>
      </c>
      <c r="D50" s="167">
        <f>AVERAGE(E38:E41,G38:G41)</f>
        <v>75447169.860977367</v>
      </c>
      <c r="F50" s="168"/>
      <c r="H50" s="148"/>
    </row>
    <row r="51" spans="1:12" ht="18.75">
      <c r="C51" s="122" t="s">
        <v>82</v>
      </c>
      <c r="D51" s="169">
        <f>STDEV(E38:E41,G38:G41)/D50</f>
        <v>2.8879261649829703E-3</v>
      </c>
      <c r="F51" s="168"/>
      <c r="H51" s="148"/>
    </row>
    <row r="52" spans="1:12" ht="19.5" customHeight="1">
      <c r="C52" s="170" t="s">
        <v>19</v>
      </c>
      <c r="D52" s="171">
        <f>COUNT(E38:E41,G38:G41)</f>
        <v>6</v>
      </c>
      <c r="F52" s="168"/>
    </row>
    <row r="54" spans="1:12" ht="18.75">
      <c r="A54" s="172" t="s">
        <v>1</v>
      </c>
      <c r="B54" s="173" t="s">
        <v>83</v>
      </c>
    </row>
    <row r="55" spans="1:12" ht="18.75">
      <c r="A55" s="97" t="s">
        <v>84</v>
      </c>
      <c r="B55" s="174" t="str">
        <f>B21</f>
        <v/>
      </c>
    </row>
    <row r="56" spans="1:12" ht="26.25" customHeight="1">
      <c r="A56" s="175" t="s">
        <v>85</v>
      </c>
      <c r="B56" s="176">
        <v>300</v>
      </c>
      <c r="C56" s="97" t="str">
        <f>B20</f>
        <v/>
      </c>
      <c r="H56" s="177"/>
    </row>
    <row r="57" spans="1:12" ht="18.75">
      <c r="A57" s="174" t="s">
        <v>86</v>
      </c>
      <c r="B57" s="266">
        <f>Uniformity!C46</f>
        <v>1972.5905</v>
      </c>
      <c r="H57" s="177"/>
    </row>
    <row r="58" spans="1:12" ht="19.5" customHeight="1">
      <c r="H58" s="177"/>
    </row>
    <row r="59" spans="1:12" s="12" customFormat="1" ht="27" customHeight="1">
      <c r="A59" s="120" t="s">
        <v>87</v>
      </c>
      <c r="B59" s="121">
        <v>250</v>
      </c>
      <c r="C59" s="97"/>
      <c r="D59" s="178" t="s">
        <v>88</v>
      </c>
      <c r="E59" s="179" t="s">
        <v>60</v>
      </c>
      <c r="F59" s="179" t="s">
        <v>61</v>
      </c>
      <c r="G59" s="179" t="s">
        <v>89</v>
      </c>
      <c r="H59" s="124" t="s">
        <v>90</v>
      </c>
      <c r="L59" s="110"/>
    </row>
    <row r="60" spans="1:12" s="12" customFormat="1" ht="26.25" customHeight="1">
      <c r="A60" s="122" t="s">
        <v>91</v>
      </c>
      <c r="B60" s="123">
        <v>4</v>
      </c>
      <c r="C60" s="501" t="s">
        <v>92</v>
      </c>
      <c r="D60" s="504">
        <v>1965.81</v>
      </c>
      <c r="E60" s="180">
        <v>1</v>
      </c>
      <c r="F60" s="181">
        <v>72991721</v>
      </c>
      <c r="G60" s="267">
        <f>IF(ISBLANK(F60),"-",(F60/$D$50*$D$47*$B$68)*($B$57/$D$60))</f>
        <v>291.23750522725078</v>
      </c>
      <c r="H60" s="182">
        <f t="shared" ref="H60:H71" si="0">IF(ISBLANK(F60),"-",G60/$B$56)</f>
        <v>0.97079168409083594</v>
      </c>
      <c r="L60" s="110"/>
    </row>
    <row r="61" spans="1:12" s="12" customFormat="1" ht="26.25" customHeight="1">
      <c r="A61" s="122" t="s">
        <v>93</v>
      </c>
      <c r="B61" s="123">
        <v>10</v>
      </c>
      <c r="C61" s="502"/>
      <c r="D61" s="505"/>
      <c r="E61" s="183">
        <v>2</v>
      </c>
      <c r="F61" s="135">
        <v>73002532</v>
      </c>
      <c r="G61" s="268">
        <f>IF(ISBLANK(F61),"-",(F61/$D$50*$D$47*$B$68)*($B$57/$D$60))</f>
        <v>291.28064119700014</v>
      </c>
      <c r="H61" s="184">
        <f t="shared" si="0"/>
        <v>0.97093547065666708</v>
      </c>
      <c r="L61" s="110"/>
    </row>
    <row r="62" spans="1:12" s="12" customFormat="1" ht="26.25" customHeight="1">
      <c r="A62" s="122" t="s">
        <v>94</v>
      </c>
      <c r="B62" s="123">
        <v>1</v>
      </c>
      <c r="C62" s="502"/>
      <c r="D62" s="505"/>
      <c r="E62" s="183">
        <v>3</v>
      </c>
      <c r="F62" s="185">
        <v>73070692</v>
      </c>
      <c r="G62" s="268">
        <f>IF(ISBLANK(F62),"-",(F62/$D$50*$D$47*$B$68)*($B$57/$D$60))</f>
        <v>291.55260009979526</v>
      </c>
      <c r="H62" s="184">
        <f t="shared" si="0"/>
        <v>0.97184200033265089</v>
      </c>
      <c r="L62" s="110"/>
    </row>
    <row r="63" spans="1:12" ht="27" customHeight="1">
      <c r="A63" s="122" t="s">
        <v>95</v>
      </c>
      <c r="B63" s="123">
        <v>1</v>
      </c>
      <c r="C63" s="503"/>
      <c r="D63" s="506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>
      <c r="A64" s="122" t="s">
        <v>96</v>
      </c>
      <c r="B64" s="123">
        <v>1</v>
      </c>
      <c r="C64" s="501" t="s">
        <v>97</v>
      </c>
      <c r="D64" s="504">
        <v>1977.25</v>
      </c>
      <c r="E64" s="180">
        <v>1</v>
      </c>
      <c r="F64" s="181">
        <v>71326776</v>
      </c>
      <c r="G64" s="269">
        <f>IF(ISBLANK(F64),"-",(F64/$D$50*$D$47*$B$68)*($B$57/$D$64))</f>
        <v>282.94775245448795</v>
      </c>
      <c r="H64" s="188">
        <f t="shared" si="0"/>
        <v>0.94315917484829315</v>
      </c>
    </row>
    <row r="65" spans="1:8" ht="26.25" customHeight="1">
      <c r="A65" s="122" t="s">
        <v>98</v>
      </c>
      <c r="B65" s="123">
        <v>1</v>
      </c>
      <c r="C65" s="502"/>
      <c r="D65" s="505"/>
      <c r="E65" s="183">
        <v>2</v>
      </c>
      <c r="F65" s="135">
        <v>71128274</v>
      </c>
      <c r="G65" s="270">
        <f>IF(ISBLANK(F65),"-",(F65/$D$50*$D$47*$B$68)*($B$57/$D$64))</f>
        <v>282.16031051602545</v>
      </c>
      <c r="H65" s="189">
        <f t="shared" si="0"/>
        <v>0.94053436838675153</v>
      </c>
    </row>
    <row r="66" spans="1:8" ht="26.25" customHeight="1">
      <c r="A66" s="122" t="s">
        <v>99</v>
      </c>
      <c r="B66" s="123">
        <v>1</v>
      </c>
      <c r="C66" s="502"/>
      <c r="D66" s="505"/>
      <c r="E66" s="183">
        <v>3</v>
      </c>
      <c r="F66" s="135">
        <v>71647428</v>
      </c>
      <c r="G66" s="270">
        <f>IF(ISBLANK(F66),"-",(F66/$D$50*$D$47*$B$68)*($B$57/$D$64))</f>
        <v>284.21975390763134</v>
      </c>
      <c r="H66" s="189">
        <f t="shared" si="0"/>
        <v>0.94739917969210452</v>
      </c>
    </row>
    <row r="67" spans="1:8" ht="27" customHeight="1">
      <c r="A67" s="122" t="s">
        <v>100</v>
      </c>
      <c r="B67" s="123">
        <v>1</v>
      </c>
      <c r="C67" s="503"/>
      <c r="D67" s="506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>
      <c r="A68" s="122" t="s">
        <v>101</v>
      </c>
      <c r="B68" s="191">
        <f>(B67/B66)*(B65/B64)*(B63/B62)*(B61/B60)*B59</f>
        <v>625</v>
      </c>
      <c r="C68" s="501" t="s">
        <v>102</v>
      </c>
      <c r="D68" s="504">
        <v>1969.84</v>
      </c>
      <c r="E68" s="180">
        <v>1</v>
      </c>
      <c r="F68" s="181">
        <v>73841474</v>
      </c>
      <c r="G68" s="269">
        <f>IF(ISBLANK(F68),"-",(F68/$D$50*$D$47*$B$68)*($B$57/$D$68))</f>
        <v>294.02526079451371</v>
      </c>
      <c r="H68" s="184">
        <f t="shared" si="0"/>
        <v>0.98008420264837903</v>
      </c>
    </row>
    <row r="69" spans="1:8" ht="27" customHeight="1">
      <c r="A69" s="170" t="s">
        <v>103</v>
      </c>
      <c r="B69" s="192">
        <f>(D47*B68)/B56*B57</f>
        <v>1972.5905</v>
      </c>
      <c r="C69" s="502"/>
      <c r="D69" s="505"/>
      <c r="E69" s="183">
        <v>2</v>
      </c>
      <c r="F69" s="135">
        <v>73940851</v>
      </c>
      <c r="G69" s="270">
        <f>IF(ISBLANK(F69),"-",(F69/$D$50*$D$47*$B$68)*($B$57/$D$68))</f>
        <v>294.42096454687885</v>
      </c>
      <c r="H69" s="184">
        <f t="shared" si="0"/>
        <v>0.98140321515626283</v>
      </c>
    </row>
    <row r="70" spans="1:8" ht="26.25" customHeight="1">
      <c r="A70" s="514" t="s">
        <v>76</v>
      </c>
      <c r="B70" s="515"/>
      <c r="C70" s="502"/>
      <c r="D70" s="505"/>
      <c r="E70" s="183">
        <v>3</v>
      </c>
      <c r="F70" s="135">
        <v>73551395</v>
      </c>
      <c r="G70" s="270">
        <f>IF(ISBLANK(F70),"-",(F70/$D$50*$D$47*$B$68)*($B$57/$D$68))</f>
        <v>292.8702113486425</v>
      </c>
      <c r="H70" s="184">
        <f t="shared" si="0"/>
        <v>0.97623403782880835</v>
      </c>
    </row>
    <row r="71" spans="1:8" ht="27" customHeight="1">
      <c r="A71" s="516"/>
      <c r="B71" s="517"/>
      <c r="C71" s="513"/>
      <c r="D71" s="506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>
      <c r="A72" s="194"/>
      <c r="B72" s="194"/>
      <c r="C72" s="194"/>
      <c r="D72" s="194"/>
      <c r="E72" s="194"/>
      <c r="F72" s="196" t="s">
        <v>69</v>
      </c>
      <c r="G72" s="276">
        <f>AVERAGE(G60:G71)</f>
        <v>289.4127777880251</v>
      </c>
      <c r="H72" s="197">
        <f>AVERAGE(H60:H71)</f>
        <v>0.96470925929341711</v>
      </c>
    </row>
    <row r="73" spans="1:8" ht="26.25" customHeight="1">
      <c r="C73" s="194"/>
      <c r="D73" s="194"/>
      <c r="E73" s="194"/>
      <c r="F73" s="198" t="s">
        <v>82</v>
      </c>
      <c r="G73" s="272">
        <f>STDEV(G60:G71)/G72</f>
        <v>1.6886285192980785E-2</v>
      </c>
      <c r="H73" s="272">
        <f>STDEV(H60:H71)/H72</f>
        <v>1.6886285192992605E-2</v>
      </c>
    </row>
    <row r="74" spans="1:8" ht="27" customHeight="1">
      <c r="A74" s="194"/>
      <c r="B74" s="194"/>
      <c r="C74" s="195"/>
      <c r="D74" s="195"/>
      <c r="E74" s="199"/>
      <c r="F74" s="200" t="s">
        <v>19</v>
      </c>
      <c r="G74" s="201">
        <f>COUNT(G60:G71)</f>
        <v>9</v>
      </c>
      <c r="H74" s="201">
        <f>COUNT(H60:H71)</f>
        <v>9</v>
      </c>
    </row>
    <row r="76" spans="1:8" ht="26.25" customHeight="1">
      <c r="A76" s="106" t="s">
        <v>104</v>
      </c>
      <c r="B76" s="202" t="s">
        <v>105</v>
      </c>
      <c r="C76" s="509" t="str">
        <f>B20</f>
        <v/>
      </c>
      <c r="D76" s="509"/>
      <c r="E76" s="203" t="s">
        <v>106</v>
      </c>
      <c r="F76" s="203"/>
      <c r="G76" s="204">
        <f>H72</f>
        <v>0.96470925929341711</v>
      </c>
      <c r="H76" s="205"/>
    </row>
    <row r="77" spans="1:8" ht="18.75">
      <c r="A77" s="105" t="s">
        <v>107</v>
      </c>
      <c r="B77" s="105" t="s">
        <v>108</v>
      </c>
    </row>
    <row r="78" spans="1:8" ht="18.75">
      <c r="A78" s="105"/>
      <c r="B78" s="105"/>
    </row>
    <row r="79" spans="1:8" ht="26.25" customHeight="1">
      <c r="A79" s="106" t="s">
        <v>3</v>
      </c>
      <c r="B79" s="495" t="str">
        <f>B26</f>
        <v>Atazanavir Sulphate</v>
      </c>
      <c r="C79" s="495"/>
    </row>
    <row r="80" spans="1:8" ht="26.25" customHeight="1">
      <c r="A80" s="107" t="s">
        <v>46</v>
      </c>
      <c r="B80" s="495" t="str">
        <f>B27</f>
        <v>A48-2</v>
      </c>
      <c r="C80" s="495"/>
    </row>
    <row r="81" spans="1:12" ht="27" customHeight="1">
      <c r="A81" s="107" t="s">
        <v>5</v>
      </c>
      <c r="B81" s="206">
        <f>B28</f>
        <v>100</v>
      </c>
    </row>
    <row r="82" spans="1:12" s="12" customFormat="1" ht="27" customHeight="1">
      <c r="A82" s="107" t="s">
        <v>47</v>
      </c>
      <c r="B82" s="109">
        <v>0</v>
      </c>
      <c r="C82" s="486" t="s">
        <v>48</v>
      </c>
      <c r="D82" s="487"/>
      <c r="E82" s="487"/>
      <c r="F82" s="487"/>
      <c r="G82" s="488"/>
      <c r="I82" s="110"/>
      <c r="J82" s="110"/>
      <c r="K82" s="110"/>
      <c r="L82" s="110"/>
    </row>
    <row r="83" spans="1:12" s="12" customFormat="1" ht="19.5" customHeight="1">
      <c r="A83" s="107" t="s">
        <v>49</v>
      </c>
      <c r="B83" s="111">
        <f>B81-B82</f>
        <v>100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2" customFormat="1" ht="27" customHeight="1">
      <c r="A84" s="107" t="s">
        <v>50</v>
      </c>
      <c r="B84" s="114">
        <f>B31</f>
        <v>704.85599999999999</v>
      </c>
      <c r="C84" s="489" t="s">
        <v>109</v>
      </c>
      <c r="D84" s="490"/>
      <c r="E84" s="490"/>
      <c r="F84" s="490"/>
      <c r="G84" s="490"/>
      <c r="H84" s="491"/>
      <c r="I84" s="110"/>
      <c r="J84" s="110"/>
      <c r="K84" s="110"/>
      <c r="L84" s="110"/>
    </row>
    <row r="85" spans="1:12" s="12" customFormat="1" ht="27" customHeight="1">
      <c r="A85" s="107" t="s">
        <v>52</v>
      </c>
      <c r="B85" s="114">
        <f>B32</f>
        <v>802.93299999999999</v>
      </c>
      <c r="C85" s="489" t="s">
        <v>110</v>
      </c>
      <c r="D85" s="490"/>
      <c r="E85" s="490"/>
      <c r="F85" s="490"/>
      <c r="G85" s="490"/>
      <c r="H85" s="491"/>
      <c r="I85" s="110"/>
      <c r="J85" s="110"/>
      <c r="K85" s="110"/>
      <c r="L85" s="110"/>
    </row>
    <row r="86" spans="1:12" s="12" customFormat="1" ht="18.75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2" customFormat="1" ht="18.75">
      <c r="A87" s="107" t="s">
        <v>54</v>
      </c>
      <c r="B87" s="119">
        <f>B84/B85</f>
        <v>0.87785157665708102</v>
      </c>
      <c r="C87" s="97" t="s">
        <v>55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>
      <c r="A88" s="105"/>
      <c r="B88" s="105"/>
    </row>
    <row r="89" spans="1:12" ht="27" customHeight="1">
      <c r="A89" s="120" t="s">
        <v>56</v>
      </c>
      <c r="B89" s="121">
        <v>50</v>
      </c>
      <c r="D89" s="207" t="s">
        <v>57</v>
      </c>
      <c r="E89" s="208"/>
      <c r="F89" s="492" t="s">
        <v>58</v>
      </c>
      <c r="G89" s="494"/>
    </row>
    <row r="90" spans="1:12" ht="27" customHeight="1">
      <c r="A90" s="122" t="s">
        <v>59</v>
      </c>
      <c r="B90" s="123">
        <v>1</v>
      </c>
      <c r="C90" s="209" t="s">
        <v>60</v>
      </c>
      <c r="D90" s="125" t="s">
        <v>61</v>
      </c>
      <c r="E90" s="126" t="s">
        <v>62</v>
      </c>
      <c r="F90" s="125" t="s">
        <v>61</v>
      </c>
      <c r="G90" s="210" t="s">
        <v>62</v>
      </c>
      <c r="I90" s="128" t="s">
        <v>63</v>
      </c>
    </row>
    <row r="91" spans="1:12" ht="26.25" customHeight="1">
      <c r="A91" s="122" t="s">
        <v>64</v>
      </c>
      <c r="B91" s="123">
        <v>1</v>
      </c>
      <c r="C91" s="211">
        <v>1</v>
      </c>
      <c r="D91" s="130">
        <v>95162910</v>
      </c>
      <c r="E91" s="131">
        <f>IF(ISBLANK(D91),"-",$D$101/$D$98*D91)</f>
        <v>94924980.484928504</v>
      </c>
      <c r="F91" s="130">
        <v>76366619</v>
      </c>
      <c r="G91" s="132">
        <f>IF(ISBLANK(F91),"-",$D$101/$F$98*F91)</f>
        <v>92283555.678035691</v>
      </c>
      <c r="I91" s="133"/>
    </row>
    <row r="92" spans="1:12" ht="26.25" customHeight="1">
      <c r="A92" s="122" t="s">
        <v>65</v>
      </c>
      <c r="B92" s="123">
        <v>1</v>
      </c>
      <c r="C92" s="195">
        <v>2</v>
      </c>
      <c r="D92" s="135">
        <v>95139214</v>
      </c>
      <c r="E92" s="136">
        <f>IF(ISBLANK(D92),"-",$D$101/$D$98*D92)</f>
        <v>94901343.730466381</v>
      </c>
      <c r="F92" s="135">
        <v>76699379</v>
      </c>
      <c r="G92" s="137">
        <f>IF(ISBLANK(F92),"-",$D$101/$F$98*F92)</f>
        <v>92685672.157585785</v>
      </c>
      <c r="I92" s="496">
        <f>ABS((F96/D96*D95)-F95)/D95</f>
        <v>2.0424866989025372E-2</v>
      </c>
    </row>
    <row r="93" spans="1:12" ht="26.25" customHeight="1">
      <c r="A93" s="122" t="s">
        <v>66</v>
      </c>
      <c r="B93" s="123">
        <v>1</v>
      </c>
      <c r="C93" s="195">
        <v>3</v>
      </c>
      <c r="D93" s="135">
        <v>95311780</v>
      </c>
      <c r="E93" s="136">
        <f>IF(ISBLANK(D93),"-",$D$101/$D$98*D93)</f>
        <v>95073478.275136814</v>
      </c>
      <c r="F93" s="135">
        <v>76861065</v>
      </c>
      <c r="G93" s="137">
        <f>IF(ISBLANK(F93),"-",$D$101/$F$98*F93)</f>
        <v>92881058.036635354</v>
      </c>
      <c r="I93" s="496"/>
    </row>
    <row r="94" spans="1:12" ht="27" customHeight="1">
      <c r="A94" s="122" t="s">
        <v>67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>
      <c r="A95" s="122" t="s">
        <v>68</v>
      </c>
      <c r="B95" s="123">
        <v>1</v>
      </c>
      <c r="C95" s="214" t="s">
        <v>69</v>
      </c>
      <c r="D95" s="215">
        <f>AVERAGE(D91:D94)</f>
        <v>95204634.666666672</v>
      </c>
      <c r="E95" s="146">
        <f>AVERAGE(E91:E94)</f>
        <v>94966600.830177233</v>
      </c>
      <c r="F95" s="216">
        <f>AVERAGE(F91:F94)</f>
        <v>76642354.333333328</v>
      </c>
      <c r="G95" s="217">
        <f>AVERAGE(G91:G94)</f>
        <v>92616761.957418934</v>
      </c>
    </row>
    <row r="96" spans="1:12" ht="26.25" customHeight="1">
      <c r="A96" s="122" t="s">
        <v>70</v>
      </c>
      <c r="B96" s="108">
        <v>1</v>
      </c>
      <c r="C96" s="218" t="s">
        <v>111</v>
      </c>
      <c r="D96" s="219">
        <v>17.13</v>
      </c>
      <c r="E96" s="138"/>
      <c r="F96" s="150">
        <v>14.14</v>
      </c>
    </row>
    <row r="97" spans="1:10" ht="26.25" customHeight="1">
      <c r="A97" s="122" t="s">
        <v>72</v>
      </c>
      <c r="B97" s="108">
        <v>1</v>
      </c>
      <c r="C97" s="220" t="s">
        <v>112</v>
      </c>
      <c r="D97" s="221">
        <f>D96*$B$87</f>
        <v>15.037597508135796</v>
      </c>
      <c r="E97" s="153"/>
      <c r="F97" s="152">
        <f>F96*$B$87</f>
        <v>12.412821293931126</v>
      </c>
    </row>
    <row r="98" spans="1:10" ht="19.5" customHeight="1">
      <c r="A98" s="122" t="s">
        <v>74</v>
      </c>
      <c r="B98" s="222">
        <f>(B97/B96)*(B95/B94)*(B93/B92)*(B91/B90)*B89</f>
        <v>50</v>
      </c>
      <c r="C98" s="220" t="s">
        <v>113</v>
      </c>
      <c r="D98" s="223">
        <f>D97*$B$83/100</f>
        <v>15.037597508135796</v>
      </c>
      <c r="E98" s="156"/>
      <c r="F98" s="155">
        <f>F97*$B$83/100</f>
        <v>12.412821293931126</v>
      </c>
    </row>
    <row r="99" spans="1:10" ht="19.5" customHeight="1">
      <c r="A99" s="497" t="s">
        <v>76</v>
      </c>
      <c r="B99" s="511"/>
      <c r="C99" s="220" t="s">
        <v>114</v>
      </c>
      <c r="D99" s="224">
        <f>D98/$B$98</f>
        <v>0.30075195016271594</v>
      </c>
      <c r="E99" s="156"/>
      <c r="F99" s="159">
        <f>F98/$B$98</f>
        <v>0.24825642587862251</v>
      </c>
      <c r="G99" s="225"/>
      <c r="H99" s="148"/>
    </row>
    <row r="100" spans="1:10" ht="19.5" customHeight="1">
      <c r="A100" s="499"/>
      <c r="B100" s="512"/>
      <c r="C100" s="220" t="s">
        <v>78</v>
      </c>
      <c r="D100" s="226">
        <f>$B$56/$B$116</f>
        <v>0.3</v>
      </c>
      <c r="F100" s="164"/>
      <c r="G100" s="227"/>
      <c r="H100" s="148"/>
    </row>
    <row r="101" spans="1:10" ht="18.75">
      <c r="C101" s="220" t="s">
        <v>79</v>
      </c>
      <c r="D101" s="221">
        <f>D100*$B$98</f>
        <v>15</v>
      </c>
      <c r="F101" s="164"/>
      <c r="G101" s="225"/>
      <c r="H101" s="148"/>
    </row>
    <row r="102" spans="1:10" ht="19.5" customHeight="1">
      <c r="C102" s="228" t="s">
        <v>80</v>
      </c>
      <c r="D102" s="229">
        <f>D101/B34</f>
        <v>17.087170996629098</v>
      </c>
      <c r="F102" s="168"/>
      <c r="G102" s="225"/>
      <c r="H102" s="148"/>
      <c r="J102" s="230"/>
    </row>
    <row r="103" spans="1:10" ht="18.75">
      <c r="C103" s="231" t="s">
        <v>115</v>
      </c>
      <c r="D103" s="232">
        <f>AVERAGE(E91:E94,G91:G94)</f>
        <v>93791681.393798098</v>
      </c>
      <c r="F103" s="168"/>
      <c r="G103" s="233"/>
      <c r="H103" s="148"/>
      <c r="J103" s="234"/>
    </row>
    <row r="104" spans="1:10" ht="18.75">
      <c r="C104" s="198" t="s">
        <v>82</v>
      </c>
      <c r="D104" s="235">
        <f>STDEV(E91:E94,G91:G94)/D103</f>
        <v>1.3889715931844838E-2</v>
      </c>
      <c r="F104" s="168"/>
      <c r="G104" s="225"/>
      <c r="H104" s="148"/>
      <c r="J104" s="234"/>
    </row>
    <row r="105" spans="1:10" ht="19.5" customHeight="1">
      <c r="C105" s="200" t="s">
        <v>19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>
      <c r="A106" s="172"/>
      <c r="B106" s="172"/>
      <c r="C106" s="172"/>
      <c r="D106" s="172"/>
      <c r="E106" s="172"/>
    </row>
    <row r="107" spans="1:10" ht="26.25" customHeight="1">
      <c r="A107" s="120" t="s">
        <v>116</v>
      </c>
      <c r="B107" s="121">
        <v>1000</v>
      </c>
      <c r="C107" s="237" t="s">
        <v>117</v>
      </c>
      <c r="D107" s="238" t="s">
        <v>61</v>
      </c>
      <c r="E107" s="239" t="s">
        <v>118</v>
      </c>
      <c r="F107" s="240" t="s">
        <v>119</v>
      </c>
    </row>
    <row r="108" spans="1:10" ht="26.25" customHeight="1">
      <c r="A108" s="122" t="s">
        <v>120</v>
      </c>
      <c r="B108" s="123">
        <v>1</v>
      </c>
      <c r="C108" s="241">
        <v>1</v>
      </c>
      <c r="D108" s="242">
        <v>84910880</v>
      </c>
      <c r="E108" s="273">
        <f t="shared" ref="E108:E113" si="1">IF(ISBLANK(D108),"-",D108/$D$103*$D$100*$B$116)</f>
        <v>271.5940648621787</v>
      </c>
      <c r="F108" s="243">
        <f t="shared" ref="F108:F113" si="2">IF(ISBLANK(D108), "-", E108/$B$56)</f>
        <v>0.90531354954059562</v>
      </c>
    </row>
    <row r="109" spans="1:10" ht="26.25" customHeight="1">
      <c r="A109" s="122" t="s">
        <v>93</v>
      </c>
      <c r="B109" s="123">
        <v>1</v>
      </c>
      <c r="C109" s="241">
        <v>2</v>
      </c>
      <c r="D109" s="242">
        <v>89646246</v>
      </c>
      <c r="E109" s="274">
        <f t="shared" si="1"/>
        <v>286.74050193302469</v>
      </c>
      <c r="F109" s="244">
        <f t="shared" si="2"/>
        <v>0.95580167311008235</v>
      </c>
    </row>
    <row r="110" spans="1:10" ht="26.25" customHeight="1">
      <c r="A110" s="122" t="s">
        <v>94</v>
      </c>
      <c r="B110" s="123">
        <v>1</v>
      </c>
      <c r="C110" s="241">
        <v>3</v>
      </c>
      <c r="D110" s="242">
        <v>86168782</v>
      </c>
      <c r="E110" s="274">
        <f t="shared" si="1"/>
        <v>275.61756240899797</v>
      </c>
      <c r="F110" s="244">
        <f t="shared" si="2"/>
        <v>0.91872520802999325</v>
      </c>
    </row>
    <row r="111" spans="1:10" ht="26.25" customHeight="1">
      <c r="A111" s="122" t="s">
        <v>95</v>
      </c>
      <c r="B111" s="123">
        <v>1</v>
      </c>
      <c r="C111" s="241">
        <v>4</v>
      </c>
      <c r="D111" s="242">
        <v>85058612</v>
      </c>
      <c r="E111" s="274">
        <f t="shared" si="1"/>
        <v>272.06659717358826</v>
      </c>
      <c r="F111" s="244">
        <f t="shared" si="2"/>
        <v>0.90688865724529422</v>
      </c>
    </row>
    <row r="112" spans="1:10" ht="26.25" customHeight="1">
      <c r="A112" s="122" t="s">
        <v>96</v>
      </c>
      <c r="B112" s="123">
        <v>1</v>
      </c>
      <c r="C112" s="241">
        <v>5</v>
      </c>
      <c r="D112" s="242">
        <v>86250664</v>
      </c>
      <c r="E112" s="274">
        <f t="shared" si="1"/>
        <v>275.87946836520808</v>
      </c>
      <c r="F112" s="244">
        <f t="shared" si="2"/>
        <v>0.9195982278840269</v>
      </c>
    </row>
    <row r="113" spans="1:10" ht="26.25" customHeight="1">
      <c r="A113" s="122" t="s">
        <v>98</v>
      </c>
      <c r="B113" s="123">
        <v>1</v>
      </c>
      <c r="C113" s="245">
        <v>6</v>
      </c>
      <c r="D113" s="246">
        <v>89753044</v>
      </c>
      <c r="E113" s="275">
        <f t="shared" si="1"/>
        <v>287.0821036563745</v>
      </c>
      <c r="F113" s="247">
        <f t="shared" si="2"/>
        <v>0.95694034552124829</v>
      </c>
    </row>
    <row r="114" spans="1:10" ht="26.25" customHeight="1">
      <c r="A114" s="122" t="s">
        <v>99</v>
      </c>
      <c r="B114" s="123">
        <v>1</v>
      </c>
      <c r="C114" s="241"/>
      <c r="D114" s="195"/>
      <c r="E114" s="96"/>
      <c r="F114" s="248"/>
    </row>
    <row r="115" spans="1:10" ht="26.25" customHeight="1">
      <c r="A115" s="122" t="s">
        <v>100</v>
      </c>
      <c r="B115" s="123">
        <v>1</v>
      </c>
      <c r="C115" s="241"/>
      <c r="D115" s="249" t="s">
        <v>69</v>
      </c>
      <c r="E115" s="277">
        <f>AVERAGE(E108:E113)</f>
        <v>278.16338306656206</v>
      </c>
      <c r="F115" s="250">
        <f>AVERAGE(F108:F113)</f>
        <v>0.92721127688853999</v>
      </c>
    </row>
    <row r="116" spans="1:10" ht="27" customHeight="1">
      <c r="A116" s="122" t="s">
        <v>101</v>
      </c>
      <c r="B116" s="154">
        <f>(B115/B114)*(B113/B112)*(B111/B110)*(B109/B108)*B107</f>
        <v>1000</v>
      </c>
      <c r="C116" s="251"/>
      <c r="D116" s="214" t="s">
        <v>82</v>
      </c>
      <c r="E116" s="252">
        <f>STDEV(E108:E113)/E115</f>
        <v>2.5171986034135417E-2</v>
      </c>
      <c r="F116" s="252">
        <f>STDEV(F108:F113)/F115</f>
        <v>2.5171986034136003E-2</v>
      </c>
      <c r="I116" s="96"/>
    </row>
    <row r="117" spans="1:10" ht="27" customHeight="1">
      <c r="A117" s="497" t="s">
        <v>76</v>
      </c>
      <c r="B117" s="498"/>
      <c r="C117" s="253"/>
      <c r="D117" s="254" t="s">
        <v>19</v>
      </c>
      <c r="E117" s="255">
        <f>COUNT(E108:E113)</f>
        <v>6</v>
      </c>
      <c r="F117" s="255">
        <f>COUNT(F108:F113)</f>
        <v>6</v>
      </c>
      <c r="I117" s="96"/>
      <c r="J117" s="234"/>
    </row>
    <row r="118" spans="1:10" ht="19.5" customHeight="1">
      <c r="A118" s="499"/>
      <c r="B118" s="500"/>
      <c r="C118" s="96"/>
      <c r="D118" s="96"/>
      <c r="E118" s="96"/>
      <c r="F118" s="195"/>
      <c r="G118" s="96"/>
      <c r="H118" s="96"/>
      <c r="I118" s="96"/>
    </row>
    <row r="119" spans="1:10" ht="18.75">
      <c r="A119" s="264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>
      <c r="A120" s="106" t="s">
        <v>104</v>
      </c>
      <c r="B120" s="202" t="s">
        <v>121</v>
      </c>
      <c r="C120" s="509" t="str">
        <f>B20</f>
        <v/>
      </c>
      <c r="D120" s="509"/>
      <c r="E120" s="203" t="s">
        <v>122</v>
      </c>
      <c r="F120" s="203"/>
      <c r="G120" s="204">
        <f>F115</f>
        <v>0.92721127688853999</v>
      </c>
      <c r="H120" s="96"/>
      <c r="I120" s="96"/>
    </row>
    <row r="121" spans="1:10" ht="19.5" customHeight="1">
      <c r="A121" s="256"/>
      <c r="B121" s="256"/>
      <c r="C121" s="257"/>
      <c r="D121" s="257"/>
      <c r="E121" s="257"/>
      <c r="F121" s="257"/>
      <c r="G121" s="257"/>
      <c r="H121" s="257"/>
    </row>
    <row r="122" spans="1:10" ht="18.75">
      <c r="B122" s="510" t="s">
        <v>24</v>
      </c>
      <c r="C122" s="510"/>
      <c r="E122" s="209" t="s">
        <v>25</v>
      </c>
      <c r="F122" s="258"/>
      <c r="G122" s="510" t="s">
        <v>26</v>
      </c>
      <c r="H122" s="510"/>
    </row>
    <row r="123" spans="1:10" ht="69.95" customHeight="1">
      <c r="A123" s="259" t="s">
        <v>27</v>
      </c>
      <c r="B123" s="260"/>
      <c r="C123" s="260"/>
      <c r="E123" s="260"/>
      <c r="F123" s="96"/>
      <c r="G123" s="261"/>
      <c r="H123" s="261"/>
    </row>
    <row r="124" spans="1:10" ht="69.95" customHeight="1">
      <c r="A124" s="259" t="s">
        <v>28</v>
      </c>
      <c r="B124" s="262"/>
      <c r="C124" s="262"/>
      <c r="E124" s="262"/>
      <c r="F124" s="96"/>
      <c r="G124" s="263"/>
      <c r="H124" s="263"/>
    </row>
    <row r="125" spans="1:10" ht="18.75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86" zoomScale="40" zoomScaleNormal="60" zoomScaleSheetLayoutView="40" zoomScalePageLayoutView="55" workbookViewId="0">
      <selection activeCell="G114" sqref="G114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07" t="s">
        <v>43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>
      <c r="A7" s="507"/>
      <c r="B7" s="507"/>
      <c r="C7" s="507"/>
      <c r="D7" s="507"/>
      <c r="E7" s="507"/>
      <c r="F7" s="507"/>
      <c r="G7" s="507"/>
      <c r="H7" s="507"/>
      <c r="I7" s="507"/>
    </row>
    <row r="8" spans="1:9">
      <c r="A8" s="508" t="s">
        <v>44</v>
      </c>
      <c r="B8" s="508"/>
      <c r="C8" s="508"/>
      <c r="D8" s="508"/>
      <c r="E8" s="508"/>
      <c r="F8" s="508"/>
      <c r="G8" s="508"/>
      <c r="H8" s="508"/>
      <c r="I8" s="508"/>
    </row>
    <row r="9" spans="1:9">
      <c r="A9" s="508"/>
      <c r="B9" s="508"/>
      <c r="C9" s="508"/>
      <c r="D9" s="508"/>
      <c r="E9" s="508"/>
      <c r="F9" s="508"/>
      <c r="G9" s="508"/>
      <c r="H9" s="508"/>
      <c r="I9" s="508"/>
    </row>
    <row r="10" spans="1:9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>
      <c r="A15" s="279"/>
    </row>
    <row r="16" spans="1:9" ht="19.5" customHeight="1">
      <c r="A16" s="480" t="s">
        <v>29</v>
      </c>
      <c r="B16" s="481"/>
      <c r="C16" s="481"/>
      <c r="D16" s="481"/>
      <c r="E16" s="481"/>
      <c r="F16" s="481"/>
      <c r="G16" s="481"/>
      <c r="H16" s="482"/>
    </row>
    <row r="17" spans="1:14" ht="20.25" customHeight="1">
      <c r="A17" s="483" t="s">
        <v>45</v>
      </c>
      <c r="B17" s="483"/>
      <c r="C17" s="483"/>
      <c r="D17" s="483"/>
      <c r="E17" s="483"/>
      <c r="F17" s="483"/>
      <c r="G17" s="483"/>
      <c r="H17" s="483"/>
    </row>
    <row r="18" spans="1:14" ht="26.25" customHeight="1">
      <c r="A18" s="281" t="s">
        <v>31</v>
      </c>
      <c r="B18" s="479" t="s">
        <v>4</v>
      </c>
      <c r="C18" s="479"/>
      <c r="D18" s="448"/>
      <c r="E18" s="282"/>
      <c r="F18" s="283"/>
      <c r="G18" s="283"/>
      <c r="H18" s="283"/>
    </row>
    <row r="19" spans="1:14" ht="26.25" customHeight="1">
      <c r="A19" s="281" t="s">
        <v>32</v>
      </c>
      <c r="B19" s="284" t="s">
        <v>6</v>
      </c>
      <c r="C19" s="461">
        <v>29</v>
      </c>
      <c r="D19" s="283"/>
      <c r="E19" s="283"/>
      <c r="F19" s="283"/>
      <c r="G19" s="283"/>
      <c r="H19" s="283"/>
    </row>
    <row r="20" spans="1:14" ht="26.25" customHeight="1">
      <c r="A20" s="281" t="s">
        <v>33</v>
      </c>
      <c r="B20" s="484" t="s">
        <v>8</v>
      </c>
      <c r="C20" s="484"/>
      <c r="D20" s="283"/>
      <c r="E20" s="283"/>
      <c r="F20" s="283"/>
      <c r="G20" s="283"/>
      <c r="H20" s="283"/>
    </row>
    <row r="21" spans="1:14" ht="26.25" customHeight="1">
      <c r="A21" s="281" t="s">
        <v>34</v>
      </c>
      <c r="B21" s="484" t="s">
        <v>10</v>
      </c>
      <c r="C21" s="484"/>
      <c r="D21" s="484"/>
      <c r="E21" s="484"/>
      <c r="F21" s="484"/>
      <c r="G21" s="484"/>
      <c r="H21" s="484"/>
      <c r="I21" s="285"/>
    </row>
    <row r="22" spans="1:14" ht="26.25" customHeight="1">
      <c r="A22" s="281" t="s">
        <v>35</v>
      </c>
      <c r="B22" s="286">
        <f>Atazanavir!B22</f>
        <v>42592</v>
      </c>
      <c r="C22" s="283"/>
      <c r="D22" s="283"/>
      <c r="E22" s="283"/>
      <c r="F22" s="283"/>
      <c r="G22" s="283"/>
      <c r="H22" s="283"/>
    </row>
    <row r="23" spans="1:14" ht="26.25" customHeight="1">
      <c r="A23" s="281" t="s">
        <v>36</v>
      </c>
      <c r="B23" s="286">
        <f>Atazanavir!B23</f>
        <v>42597</v>
      </c>
      <c r="C23" s="283"/>
      <c r="D23" s="283"/>
      <c r="E23" s="283"/>
      <c r="F23" s="283"/>
      <c r="G23" s="283"/>
      <c r="H23" s="283"/>
    </row>
    <row r="24" spans="1:14" ht="18.75">
      <c r="A24" s="281"/>
      <c r="B24" s="287"/>
    </row>
    <row r="25" spans="1:14" ht="18.75">
      <c r="A25" s="288" t="s">
        <v>1</v>
      </c>
      <c r="B25" s="287"/>
    </row>
    <row r="26" spans="1:14" ht="26.25" customHeight="1">
      <c r="A26" s="289" t="s">
        <v>3</v>
      </c>
      <c r="B26" s="479" t="s">
        <v>125</v>
      </c>
      <c r="C26" s="479"/>
    </row>
    <row r="27" spans="1:14" ht="26.25" customHeight="1">
      <c r="A27" s="290" t="s">
        <v>46</v>
      </c>
      <c r="B27" s="485" t="s">
        <v>126</v>
      </c>
      <c r="C27" s="485"/>
    </row>
    <row r="28" spans="1:14" ht="27" customHeight="1">
      <c r="A28" s="290" t="s">
        <v>5</v>
      </c>
      <c r="B28" s="291">
        <v>99.3</v>
      </c>
    </row>
    <row r="29" spans="1:14" s="12" customFormat="1" ht="27" customHeight="1">
      <c r="A29" s="290" t="s">
        <v>47</v>
      </c>
      <c r="B29" s="292">
        <v>0</v>
      </c>
      <c r="C29" s="486" t="s">
        <v>48</v>
      </c>
      <c r="D29" s="487"/>
      <c r="E29" s="487"/>
      <c r="F29" s="487"/>
      <c r="G29" s="488"/>
      <c r="I29" s="293"/>
      <c r="J29" s="293"/>
      <c r="K29" s="293"/>
      <c r="L29" s="293"/>
    </row>
    <row r="30" spans="1:14" s="12" customFormat="1" ht="19.5" customHeight="1">
      <c r="A30" s="290" t="s">
        <v>49</v>
      </c>
      <c r="B30" s="294">
        <f>B28-B29</f>
        <v>99.3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2" customFormat="1" ht="27" customHeight="1">
      <c r="A31" s="290" t="s">
        <v>50</v>
      </c>
      <c r="B31" s="297">
        <v>1</v>
      </c>
      <c r="C31" s="489" t="s">
        <v>51</v>
      </c>
      <c r="D31" s="490"/>
      <c r="E31" s="490"/>
      <c r="F31" s="490"/>
      <c r="G31" s="490"/>
      <c r="H31" s="491"/>
      <c r="I31" s="293"/>
      <c r="J31" s="293"/>
      <c r="K31" s="293"/>
      <c r="L31" s="293"/>
    </row>
    <row r="32" spans="1:14" s="12" customFormat="1" ht="27" customHeight="1">
      <c r="A32" s="290" t="s">
        <v>52</v>
      </c>
      <c r="B32" s="297">
        <v>1</v>
      </c>
      <c r="C32" s="489" t="s">
        <v>53</v>
      </c>
      <c r="D32" s="490"/>
      <c r="E32" s="490"/>
      <c r="F32" s="490"/>
      <c r="G32" s="490"/>
      <c r="H32" s="491"/>
      <c r="I32" s="293"/>
      <c r="J32" s="293"/>
      <c r="K32" s="293"/>
      <c r="L32" s="298"/>
      <c r="M32" s="298"/>
      <c r="N32" s="299"/>
    </row>
    <row r="33" spans="1:14" s="12" customFormat="1" ht="17.25" customHeight="1">
      <c r="A33" s="290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2" customFormat="1" ht="18.75">
      <c r="A34" s="290" t="s">
        <v>54</v>
      </c>
      <c r="B34" s="302">
        <f>B31/B32</f>
        <v>1</v>
      </c>
      <c r="C34" s="280" t="s">
        <v>55</v>
      </c>
      <c r="D34" s="280"/>
      <c r="E34" s="280"/>
      <c r="F34" s="280"/>
      <c r="G34" s="280"/>
      <c r="I34" s="293"/>
      <c r="J34" s="293"/>
      <c r="K34" s="293"/>
      <c r="L34" s="298"/>
      <c r="M34" s="298"/>
      <c r="N34" s="299"/>
    </row>
    <row r="35" spans="1:14" s="12" customFormat="1" ht="19.5" customHeight="1">
      <c r="A35" s="290"/>
      <c r="B35" s="294"/>
      <c r="G35" s="280"/>
      <c r="I35" s="293"/>
      <c r="J35" s="293"/>
      <c r="K35" s="293"/>
      <c r="L35" s="298"/>
      <c r="M35" s="298"/>
      <c r="N35" s="299"/>
    </row>
    <row r="36" spans="1:14" s="12" customFormat="1" ht="27" customHeight="1">
      <c r="A36" s="303" t="s">
        <v>56</v>
      </c>
      <c r="B36" s="304">
        <v>50</v>
      </c>
      <c r="C36" s="280"/>
      <c r="D36" s="492" t="s">
        <v>57</v>
      </c>
      <c r="E36" s="493"/>
      <c r="F36" s="492" t="s">
        <v>58</v>
      </c>
      <c r="G36" s="494"/>
      <c r="J36" s="293"/>
      <c r="K36" s="293"/>
      <c r="L36" s="298"/>
      <c r="M36" s="298"/>
      <c r="N36" s="299"/>
    </row>
    <row r="37" spans="1:14" s="12" customFormat="1" ht="27" customHeight="1">
      <c r="A37" s="305" t="s">
        <v>59</v>
      </c>
      <c r="B37" s="306">
        <v>1</v>
      </c>
      <c r="C37" s="307" t="s">
        <v>60</v>
      </c>
      <c r="D37" s="308" t="s">
        <v>61</v>
      </c>
      <c r="E37" s="309" t="s">
        <v>62</v>
      </c>
      <c r="F37" s="308" t="s">
        <v>61</v>
      </c>
      <c r="G37" s="310" t="s">
        <v>62</v>
      </c>
      <c r="I37" s="311" t="s">
        <v>63</v>
      </c>
      <c r="J37" s="293"/>
      <c r="K37" s="293"/>
      <c r="L37" s="298"/>
      <c r="M37" s="298"/>
      <c r="N37" s="299"/>
    </row>
    <row r="38" spans="1:14" s="12" customFormat="1" ht="26.25" customHeight="1">
      <c r="A38" s="305" t="s">
        <v>64</v>
      </c>
      <c r="B38" s="306">
        <v>1</v>
      </c>
      <c r="C38" s="312">
        <v>1</v>
      </c>
      <c r="D38" s="313">
        <v>28899050</v>
      </c>
      <c r="E38" s="314">
        <f>IF(ISBLANK(D38),"-",$D$48/$D$45*D38)</f>
        <v>16338396.848112227</v>
      </c>
      <c r="F38" s="313">
        <v>26190397</v>
      </c>
      <c r="G38" s="315">
        <f>IF(ISBLANK(F38),"-",$D$48/$F$45*F38)</f>
        <v>16331283.068164458</v>
      </c>
      <c r="I38" s="316"/>
      <c r="J38" s="293"/>
      <c r="K38" s="293"/>
      <c r="L38" s="298"/>
      <c r="M38" s="298"/>
      <c r="N38" s="299"/>
    </row>
    <row r="39" spans="1:14" s="12" customFormat="1" ht="26.25" customHeight="1">
      <c r="A39" s="305" t="s">
        <v>65</v>
      </c>
      <c r="B39" s="306">
        <v>1</v>
      </c>
      <c r="C39" s="317">
        <v>2</v>
      </c>
      <c r="D39" s="318">
        <v>29152240</v>
      </c>
      <c r="E39" s="319">
        <f>IF(ISBLANK(D39),"-",$D$48/$D$45*D39)</f>
        <v>16481540.608823167</v>
      </c>
      <c r="F39" s="318">
        <v>26281615</v>
      </c>
      <c r="G39" s="320">
        <f>IF(ISBLANK(F39),"-",$D$48/$F$45*F39)</f>
        <v>16388162.961161569</v>
      </c>
      <c r="I39" s="496">
        <f>ABS((F43/D43*D42)-F42)/D42</f>
        <v>3.5005750226682372E-3</v>
      </c>
      <c r="J39" s="293"/>
      <c r="K39" s="293"/>
      <c r="L39" s="298"/>
      <c r="M39" s="298"/>
      <c r="N39" s="299"/>
    </row>
    <row r="40" spans="1:14" ht="26.25" customHeight="1">
      <c r="A40" s="305" t="s">
        <v>66</v>
      </c>
      <c r="B40" s="306">
        <v>1</v>
      </c>
      <c r="C40" s="317">
        <v>3</v>
      </c>
      <c r="D40" s="318">
        <v>29123824</v>
      </c>
      <c r="E40" s="319">
        <f>IF(ISBLANK(D40),"-",$D$48/$D$45*D40)</f>
        <v>16465475.309623508</v>
      </c>
      <c r="F40" s="318">
        <v>26261595</v>
      </c>
      <c r="G40" s="320">
        <f>IF(ISBLANK(F40),"-",$D$48/$F$45*F40)</f>
        <v>16375679.290638184</v>
      </c>
      <c r="I40" s="496"/>
      <c r="L40" s="298"/>
      <c r="M40" s="298"/>
      <c r="N40" s="321"/>
    </row>
    <row r="41" spans="1:14" ht="27" customHeight="1">
      <c r="A41" s="305" t="s">
        <v>67</v>
      </c>
      <c r="B41" s="306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8"/>
      <c r="M41" s="298"/>
      <c r="N41" s="321"/>
    </row>
    <row r="42" spans="1:14" ht="27" customHeight="1">
      <c r="A42" s="305" t="s">
        <v>68</v>
      </c>
      <c r="B42" s="306">
        <v>1</v>
      </c>
      <c r="C42" s="327" t="s">
        <v>69</v>
      </c>
      <c r="D42" s="328">
        <f>AVERAGE(D38:D41)</f>
        <v>29058371.333333332</v>
      </c>
      <c r="E42" s="329">
        <f>AVERAGE(E38:E41)</f>
        <v>16428470.9221863</v>
      </c>
      <c r="F42" s="328">
        <f>AVERAGE(F38:F41)</f>
        <v>26244535.666666668</v>
      </c>
      <c r="G42" s="330">
        <f>AVERAGE(G38:G41)</f>
        <v>16365041.773321405</v>
      </c>
      <c r="H42" s="331"/>
    </row>
    <row r="43" spans="1:14" ht="26.25" customHeight="1">
      <c r="A43" s="305" t="s">
        <v>70</v>
      </c>
      <c r="B43" s="306">
        <v>1</v>
      </c>
      <c r="C43" s="332" t="s">
        <v>71</v>
      </c>
      <c r="D43" s="333">
        <v>14.25</v>
      </c>
      <c r="E43" s="321"/>
      <c r="F43" s="333">
        <v>12.92</v>
      </c>
      <c r="H43" s="331"/>
    </row>
    <row r="44" spans="1:14" ht="26.25" customHeight="1">
      <c r="A44" s="305" t="s">
        <v>72</v>
      </c>
      <c r="B44" s="306">
        <v>1</v>
      </c>
      <c r="C44" s="334" t="s">
        <v>73</v>
      </c>
      <c r="D44" s="335">
        <f>D43*$B$34</f>
        <v>14.25</v>
      </c>
      <c r="E44" s="336"/>
      <c r="F44" s="335">
        <f>F43*$B$34</f>
        <v>12.92</v>
      </c>
      <c r="H44" s="331"/>
    </row>
    <row r="45" spans="1:14" ht="19.5" customHeight="1">
      <c r="A45" s="305" t="s">
        <v>74</v>
      </c>
      <c r="B45" s="337">
        <f>(B44/B43)*(B42/B41)*(B40/B39)*(B38/B37)*B36</f>
        <v>50</v>
      </c>
      <c r="C45" s="334" t="s">
        <v>75</v>
      </c>
      <c r="D45" s="338">
        <f>D44*$B$30/100</f>
        <v>14.150249999999998</v>
      </c>
      <c r="E45" s="339"/>
      <c r="F45" s="338">
        <f>F44*$B$30/100</f>
        <v>12.829559999999999</v>
      </c>
      <c r="H45" s="331"/>
    </row>
    <row r="46" spans="1:14" ht="19.5" customHeight="1">
      <c r="A46" s="497" t="s">
        <v>76</v>
      </c>
      <c r="B46" s="498"/>
      <c r="C46" s="334" t="s">
        <v>77</v>
      </c>
      <c r="D46" s="340">
        <f>D45/$B$45</f>
        <v>0.28300499999999995</v>
      </c>
      <c r="E46" s="341"/>
      <c r="F46" s="342">
        <f>F45/$B$45</f>
        <v>0.25659119999999996</v>
      </c>
      <c r="H46" s="331"/>
    </row>
    <row r="47" spans="1:14" ht="27" customHeight="1">
      <c r="A47" s="499"/>
      <c r="B47" s="500"/>
      <c r="C47" s="343" t="s">
        <v>78</v>
      </c>
      <c r="D47" s="344">
        <v>0.16</v>
      </c>
      <c r="E47" s="345"/>
      <c r="F47" s="341"/>
      <c r="H47" s="331"/>
    </row>
    <row r="48" spans="1:14" ht="18.75">
      <c r="C48" s="346" t="s">
        <v>79</v>
      </c>
      <c r="D48" s="338">
        <f>D47*$B$45</f>
        <v>8</v>
      </c>
      <c r="F48" s="347"/>
      <c r="H48" s="331"/>
    </row>
    <row r="49" spans="1:12" ht="19.5" customHeight="1">
      <c r="C49" s="348" t="s">
        <v>80</v>
      </c>
      <c r="D49" s="349">
        <f>D48/B34</f>
        <v>8</v>
      </c>
      <c r="F49" s="347"/>
      <c r="H49" s="331"/>
    </row>
    <row r="50" spans="1:12" ht="18.75">
      <c r="C50" s="303" t="s">
        <v>81</v>
      </c>
      <c r="D50" s="350">
        <f>AVERAGE(E38:E41,G38:G41)</f>
        <v>16396756.347753853</v>
      </c>
      <c r="F50" s="351"/>
      <c r="H50" s="331"/>
    </row>
    <row r="51" spans="1:12" ht="18.75">
      <c r="C51" s="305" t="s">
        <v>82</v>
      </c>
      <c r="D51" s="352">
        <f>STDEV(E38:E41,G38:G41)/D50</f>
        <v>3.8688818753694894E-3</v>
      </c>
      <c r="F51" s="351"/>
      <c r="H51" s="331"/>
    </row>
    <row r="52" spans="1:12" ht="19.5" customHeight="1">
      <c r="C52" s="353" t="s">
        <v>19</v>
      </c>
      <c r="D52" s="354">
        <f>COUNT(E38:E41,G38:G41)</f>
        <v>6</v>
      </c>
      <c r="F52" s="351"/>
    </row>
    <row r="54" spans="1:12" ht="18.75">
      <c r="A54" s="355" t="s">
        <v>1</v>
      </c>
      <c r="B54" s="356" t="s">
        <v>83</v>
      </c>
    </row>
    <row r="55" spans="1:12" ht="18.75">
      <c r="A55" s="280" t="s">
        <v>84</v>
      </c>
      <c r="B55" s="357" t="str">
        <f>B21</f>
        <v/>
      </c>
    </row>
    <row r="56" spans="1:12" ht="26.25" customHeight="1">
      <c r="A56" s="358" t="s">
        <v>85</v>
      </c>
      <c r="B56" s="359">
        <v>100</v>
      </c>
      <c r="C56" s="280" t="str">
        <f>B20</f>
        <v/>
      </c>
      <c r="H56" s="360"/>
    </row>
    <row r="57" spans="1:12" ht="18.75">
      <c r="A57" s="357" t="s">
        <v>86</v>
      </c>
      <c r="B57" s="449">
        <f>Uniformity!C46</f>
        <v>1972.5905</v>
      </c>
      <c r="H57" s="360"/>
    </row>
    <row r="58" spans="1:12" ht="19.5" customHeight="1">
      <c r="H58" s="360"/>
    </row>
    <row r="59" spans="1:12" s="12" customFormat="1" ht="27" customHeight="1">
      <c r="A59" s="303" t="s">
        <v>87</v>
      </c>
      <c r="B59" s="304">
        <v>250</v>
      </c>
      <c r="C59" s="280"/>
      <c r="D59" s="361" t="s">
        <v>88</v>
      </c>
      <c r="E59" s="362" t="s">
        <v>60</v>
      </c>
      <c r="F59" s="362" t="s">
        <v>61</v>
      </c>
      <c r="G59" s="362" t="s">
        <v>89</v>
      </c>
      <c r="H59" s="307" t="s">
        <v>90</v>
      </c>
      <c r="L59" s="293"/>
    </row>
    <row r="60" spans="1:12" s="12" customFormat="1" ht="26.25" customHeight="1">
      <c r="A60" s="305" t="s">
        <v>91</v>
      </c>
      <c r="B60" s="306">
        <v>4</v>
      </c>
      <c r="C60" s="501" t="s">
        <v>92</v>
      </c>
      <c r="D60" s="504">
        <f>Atazanavir!D60</f>
        <v>1965.81</v>
      </c>
      <c r="E60" s="363">
        <v>1</v>
      </c>
      <c r="F60" s="364">
        <v>16726639</v>
      </c>
      <c r="G60" s="450">
        <f>IF(ISBLANK(F60),"-",(F60/$D$50*$D$47*$B$68)*($B$57/$D$60))</f>
        <v>102.36373833196039</v>
      </c>
      <c r="H60" s="365">
        <f t="shared" ref="H60:H71" si="0">IF(ISBLANK(F60),"-",G60/$B$56)</f>
        <v>1.023637383319604</v>
      </c>
      <c r="L60" s="293"/>
    </row>
    <row r="61" spans="1:12" s="12" customFormat="1" ht="26.25" customHeight="1">
      <c r="A61" s="305" t="s">
        <v>93</v>
      </c>
      <c r="B61" s="306">
        <v>10</v>
      </c>
      <c r="C61" s="502"/>
      <c r="D61" s="505"/>
      <c r="E61" s="366">
        <v>2</v>
      </c>
      <c r="F61" s="318">
        <v>16795234</v>
      </c>
      <c r="G61" s="451">
        <f>IF(ISBLANK(F61),"-",(F61/$D$50*$D$47*$B$68)*($B$57/$D$60))</f>
        <v>102.78352623022739</v>
      </c>
      <c r="H61" s="367">
        <f t="shared" si="0"/>
        <v>1.027835262302274</v>
      </c>
      <c r="L61" s="293"/>
    </row>
    <row r="62" spans="1:12" s="12" customFormat="1" ht="26.25" customHeight="1">
      <c r="A62" s="305" t="s">
        <v>94</v>
      </c>
      <c r="B62" s="306">
        <v>1</v>
      </c>
      <c r="C62" s="502"/>
      <c r="D62" s="505"/>
      <c r="E62" s="366">
        <v>3</v>
      </c>
      <c r="F62" s="368">
        <v>16845864</v>
      </c>
      <c r="G62" s="451">
        <f>IF(ISBLANK(F62),"-",(F62/$D$50*$D$47*$B$68)*($B$57/$D$60))</f>
        <v>103.09337186459224</v>
      </c>
      <c r="H62" s="367">
        <f t="shared" si="0"/>
        <v>1.0309337186459224</v>
      </c>
      <c r="L62" s="293"/>
    </row>
    <row r="63" spans="1:12" ht="27" customHeight="1">
      <c r="A63" s="305" t="s">
        <v>95</v>
      </c>
      <c r="B63" s="306">
        <v>1</v>
      </c>
      <c r="C63" s="503"/>
      <c r="D63" s="506"/>
      <c r="E63" s="369">
        <v>4</v>
      </c>
      <c r="F63" s="370"/>
      <c r="G63" s="451" t="str">
        <f>IF(ISBLANK(F63),"-",(F63/$D$50*$D$47*$B$68)*($B$57/$D$60))</f>
        <v>-</v>
      </c>
      <c r="H63" s="367" t="str">
        <f t="shared" si="0"/>
        <v>-</v>
      </c>
    </row>
    <row r="64" spans="1:12" ht="26.25" customHeight="1">
      <c r="A64" s="305" t="s">
        <v>96</v>
      </c>
      <c r="B64" s="306">
        <v>1</v>
      </c>
      <c r="C64" s="501" t="s">
        <v>97</v>
      </c>
      <c r="D64" s="504">
        <f>Atazanavir!D64</f>
        <v>1977.25</v>
      </c>
      <c r="E64" s="363">
        <v>1</v>
      </c>
      <c r="F64" s="364">
        <v>17451913</v>
      </c>
      <c r="G64" s="452">
        <f>IF(ISBLANK(F64),"-",(F64/$D$50*$D$47*$B$68)*($B$57/$D$64))</f>
        <v>106.18433441069874</v>
      </c>
      <c r="H64" s="371">
        <f t="shared" si="0"/>
        <v>1.0618433441069874</v>
      </c>
    </row>
    <row r="65" spans="1:8" ht="26.25" customHeight="1">
      <c r="A65" s="305" t="s">
        <v>98</v>
      </c>
      <c r="B65" s="306">
        <v>1</v>
      </c>
      <c r="C65" s="502"/>
      <c r="D65" s="505"/>
      <c r="E65" s="366">
        <v>2</v>
      </c>
      <c r="F65" s="318">
        <v>17406195</v>
      </c>
      <c r="G65" s="453">
        <f>IF(ISBLANK(F65),"-",(F65/$D$50*$D$47*$B$68)*($B$57/$D$64))</f>
        <v>105.90616803429126</v>
      </c>
      <c r="H65" s="372">
        <f t="shared" si="0"/>
        <v>1.0590616803429125</v>
      </c>
    </row>
    <row r="66" spans="1:8" ht="26.25" customHeight="1">
      <c r="A66" s="305" t="s">
        <v>99</v>
      </c>
      <c r="B66" s="306">
        <v>1</v>
      </c>
      <c r="C66" s="502"/>
      <c r="D66" s="505"/>
      <c r="E66" s="366">
        <v>3</v>
      </c>
      <c r="F66" s="318">
        <v>17238478</v>
      </c>
      <c r="G66" s="453">
        <f>IF(ISBLANK(F66),"-",(F66/$D$50*$D$47*$B$68)*($B$57/$D$64))</f>
        <v>104.8857115368082</v>
      </c>
      <c r="H66" s="372">
        <f t="shared" si="0"/>
        <v>1.0488571153680821</v>
      </c>
    </row>
    <row r="67" spans="1:8" ht="27" customHeight="1">
      <c r="A67" s="305" t="s">
        <v>100</v>
      </c>
      <c r="B67" s="306">
        <v>1</v>
      </c>
      <c r="C67" s="503"/>
      <c r="D67" s="506"/>
      <c r="E67" s="369">
        <v>4</v>
      </c>
      <c r="F67" s="370"/>
      <c r="G67" s="454" t="str">
        <f>IF(ISBLANK(F67),"-",(F67/$D$50*$D$47*$B$68)*($B$57/$D$64))</f>
        <v>-</v>
      </c>
      <c r="H67" s="373" t="str">
        <f t="shared" si="0"/>
        <v>-</v>
      </c>
    </row>
    <row r="68" spans="1:8" ht="26.25" customHeight="1">
      <c r="A68" s="305" t="s">
        <v>101</v>
      </c>
      <c r="B68" s="374">
        <f>(B67/B66)*(B65/B64)*(B63/B62)*(B61/B60)*B59</f>
        <v>625</v>
      </c>
      <c r="C68" s="501" t="s">
        <v>102</v>
      </c>
      <c r="D68" s="504">
        <f>Atazanavir!D68</f>
        <v>1969.84</v>
      </c>
      <c r="E68" s="363">
        <v>1</v>
      </c>
      <c r="F68" s="364">
        <v>16789467</v>
      </c>
      <c r="G68" s="452">
        <f>IF(ISBLANK(F68),"-",(F68/$D$50*$D$47*$B$68)*($B$57/$D$68))</f>
        <v>102.53802570428461</v>
      </c>
      <c r="H68" s="367">
        <f t="shared" si="0"/>
        <v>1.0253802570428461</v>
      </c>
    </row>
    <row r="69" spans="1:8" ht="27" customHeight="1">
      <c r="A69" s="353" t="s">
        <v>103</v>
      </c>
      <c r="B69" s="375">
        <f>(D47*B68)/B56*B57</f>
        <v>1972.5905</v>
      </c>
      <c r="C69" s="502"/>
      <c r="D69" s="505"/>
      <c r="E69" s="366">
        <v>2</v>
      </c>
      <c r="F69" s="318">
        <v>16846074</v>
      </c>
      <c r="G69" s="453">
        <f>IF(ISBLANK(F69),"-",(F69/$D$50*$D$47*$B$68)*($B$57/$D$68))</f>
        <v>102.88374067075988</v>
      </c>
      <c r="H69" s="367">
        <f t="shared" si="0"/>
        <v>1.0288374067075987</v>
      </c>
    </row>
    <row r="70" spans="1:8" ht="26.25" customHeight="1">
      <c r="A70" s="514" t="s">
        <v>76</v>
      </c>
      <c r="B70" s="515"/>
      <c r="C70" s="502"/>
      <c r="D70" s="505"/>
      <c r="E70" s="366">
        <v>3</v>
      </c>
      <c r="F70" s="318">
        <v>16693128</v>
      </c>
      <c r="G70" s="453">
        <f>IF(ISBLANK(F70),"-",(F70/$D$50*$D$47*$B$68)*($B$57/$D$68))</f>
        <v>101.94965617127174</v>
      </c>
      <c r="H70" s="367">
        <f t="shared" si="0"/>
        <v>1.0194965617127174</v>
      </c>
    </row>
    <row r="71" spans="1:8" ht="27" customHeight="1">
      <c r="A71" s="516"/>
      <c r="B71" s="517"/>
      <c r="C71" s="513"/>
      <c r="D71" s="506"/>
      <c r="E71" s="369">
        <v>4</v>
      </c>
      <c r="F71" s="370"/>
      <c r="G71" s="454" t="str">
        <f>IF(ISBLANK(F71),"-",(F71/$D$50*$D$47*$B$68)*($B$57/$D$68))</f>
        <v>-</v>
      </c>
      <c r="H71" s="376" t="str">
        <f t="shared" si="0"/>
        <v>-</v>
      </c>
    </row>
    <row r="72" spans="1:8" ht="26.25" customHeight="1">
      <c r="A72" s="377"/>
      <c r="B72" s="377"/>
      <c r="C72" s="377"/>
      <c r="D72" s="377"/>
      <c r="E72" s="377"/>
      <c r="F72" s="379" t="s">
        <v>69</v>
      </c>
      <c r="G72" s="459">
        <f>AVERAGE(G60:G71)</f>
        <v>103.62091921721048</v>
      </c>
      <c r="H72" s="380">
        <f>AVERAGE(H60:H71)</f>
        <v>1.0362091921721051</v>
      </c>
    </row>
    <row r="73" spans="1:8" ht="26.25" customHeight="1">
      <c r="C73" s="377"/>
      <c r="D73" s="377"/>
      <c r="E73" s="377"/>
      <c r="F73" s="381" t="s">
        <v>82</v>
      </c>
      <c r="G73" s="455">
        <f>STDEV(G60:G71)/G72</f>
        <v>1.5434264011562714E-2</v>
      </c>
      <c r="H73" s="455">
        <f>STDEV(H60:H71)/H72</f>
        <v>1.5434264011554923E-2</v>
      </c>
    </row>
    <row r="74" spans="1:8" ht="27" customHeight="1">
      <c r="A74" s="377"/>
      <c r="B74" s="377"/>
      <c r="C74" s="378"/>
      <c r="D74" s="378"/>
      <c r="E74" s="382"/>
      <c r="F74" s="383" t="s">
        <v>19</v>
      </c>
      <c r="G74" s="384">
        <f>COUNT(G60:G71)</f>
        <v>9</v>
      </c>
      <c r="H74" s="384">
        <f>COUNT(H60:H71)</f>
        <v>9</v>
      </c>
    </row>
    <row r="76" spans="1:8" ht="26.25" customHeight="1">
      <c r="A76" s="289" t="s">
        <v>104</v>
      </c>
      <c r="B76" s="385" t="s">
        <v>105</v>
      </c>
      <c r="C76" s="509" t="str">
        <f>B20</f>
        <v/>
      </c>
      <c r="D76" s="509"/>
      <c r="E76" s="386" t="s">
        <v>106</v>
      </c>
      <c r="F76" s="386"/>
      <c r="G76" s="387">
        <f>H72</f>
        <v>1.0362091921721051</v>
      </c>
      <c r="H76" s="388"/>
    </row>
    <row r="77" spans="1:8" ht="18.75">
      <c r="A77" s="288" t="s">
        <v>107</v>
      </c>
      <c r="B77" s="288" t="s">
        <v>108</v>
      </c>
    </row>
    <row r="78" spans="1:8" ht="18.75">
      <c r="A78" s="288"/>
      <c r="B78" s="288"/>
    </row>
    <row r="79" spans="1:8" ht="26.25" customHeight="1">
      <c r="A79" s="289" t="s">
        <v>3</v>
      </c>
      <c r="B79" s="495" t="str">
        <f>B26</f>
        <v>Ritonavir</v>
      </c>
      <c r="C79" s="495"/>
    </row>
    <row r="80" spans="1:8" ht="26.25" customHeight="1">
      <c r="A80" s="290" t="s">
        <v>46</v>
      </c>
      <c r="B80" s="495" t="str">
        <f>B27</f>
        <v>R9-1</v>
      </c>
      <c r="C80" s="495"/>
    </row>
    <row r="81" spans="1:12" ht="27" customHeight="1">
      <c r="A81" s="290" t="s">
        <v>5</v>
      </c>
      <c r="B81" s="389">
        <f>B28</f>
        <v>99.3</v>
      </c>
    </row>
    <row r="82" spans="1:12" s="12" customFormat="1" ht="27" customHeight="1">
      <c r="A82" s="290" t="s">
        <v>47</v>
      </c>
      <c r="B82" s="292">
        <v>0</v>
      </c>
      <c r="C82" s="486" t="s">
        <v>48</v>
      </c>
      <c r="D82" s="487"/>
      <c r="E82" s="487"/>
      <c r="F82" s="487"/>
      <c r="G82" s="488"/>
      <c r="I82" s="293"/>
      <c r="J82" s="293"/>
      <c r="K82" s="293"/>
      <c r="L82" s="293"/>
    </row>
    <row r="83" spans="1:12" s="12" customFormat="1" ht="19.5" customHeight="1">
      <c r="A83" s="290" t="s">
        <v>49</v>
      </c>
      <c r="B83" s="294">
        <f>B81-B82</f>
        <v>99.3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2" customFormat="1" ht="27" customHeight="1">
      <c r="A84" s="290" t="s">
        <v>50</v>
      </c>
      <c r="B84" s="297">
        <v>1</v>
      </c>
      <c r="C84" s="489" t="s">
        <v>109</v>
      </c>
      <c r="D84" s="490"/>
      <c r="E84" s="490"/>
      <c r="F84" s="490"/>
      <c r="G84" s="490"/>
      <c r="H84" s="491"/>
      <c r="I84" s="293"/>
      <c r="J84" s="293"/>
      <c r="K84" s="293"/>
      <c r="L84" s="293"/>
    </row>
    <row r="85" spans="1:12" s="12" customFormat="1" ht="27" customHeight="1">
      <c r="A85" s="290" t="s">
        <v>52</v>
      </c>
      <c r="B85" s="297">
        <v>1</v>
      </c>
      <c r="C85" s="489" t="s">
        <v>110</v>
      </c>
      <c r="D85" s="490"/>
      <c r="E85" s="490"/>
      <c r="F85" s="490"/>
      <c r="G85" s="490"/>
      <c r="H85" s="491"/>
      <c r="I85" s="293"/>
      <c r="J85" s="293"/>
      <c r="K85" s="293"/>
      <c r="L85" s="293"/>
    </row>
    <row r="86" spans="1:12" s="12" customFormat="1" ht="18.75">
      <c r="A86" s="290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2" customFormat="1" ht="18.75">
      <c r="A87" s="290" t="s">
        <v>54</v>
      </c>
      <c r="B87" s="302">
        <f>B84/B85</f>
        <v>1</v>
      </c>
      <c r="C87" s="280" t="s">
        <v>55</v>
      </c>
      <c r="D87" s="280"/>
      <c r="E87" s="280"/>
      <c r="F87" s="280"/>
      <c r="G87" s="280"/>
      <c r="I87" s="293"/>
      <c r="J87" s="293"/>
      <c r="K87" s="293"/>
      <c r="L87" s="293"/>
    </row>
    <row r="88" spans="1:12" ht="19.5" customHeight="1">
      <c r="A88" s="288"/>
      <c r="B88" s="288"/>
    </row>
    <row r="89" spans="1:12" ht="27" customHeight="1">
      <c r="A89" s="303" t="s">
        <v>56</v>
      </c>
      <c r="B89" s="304">
        <v>25</v>
      </c>
      <c r="D89" s="390" t="s">
        <v>57</v>
      </c>
      <c r="E89" s="391"/>
      <c r="F89" s="492" t="s">
        <v>58</v>
      </c>
      <c r="G89" s="494"/>
    </row>
    <row r="90" spans="1:12" ht="27" customHeight="1">
      <c r="A90" s="305" t="s">
        <v>59</v>
      </c>
      <c r="B90" s="306">
        <v>15</v>
      </c>
      <c r="C90" s="392" t="s">
        <v>60</v>
      </c>
      <c r="D90" s="308" t="s">
        <v>61</v>
      </c>
      <c r="E90" s="309" t="s">
        <v>62</v>
      </c>
      <c r="F90" s="308" t="s">
        <v>61</v>
      </c>
      <c r="G90" s="393" t="s">
        <v>62</v>
      </c>
      <c r="I90" s="311" t="s">
        <v>63</v>
      </c>
    </row>
    <row r="91" spans="1:12" ht="26.25" customHeight="1">
      <c r="A91" s="305" t="s">
        <v>64</v>
      </c>
      <c r="B91" s="306">
        <v>25</v>
      </c>
      <c r="C91" s="394">
        <v>1</v>
      </c>
      <c r="D91" s="313">
        <v>35838258</v>
      </c>
      <c r="E91" s="314">
        <f>IF(ISBLANK(D91),"-",$D$101/$D$98*D91)</f>
        <v>19227557.356166486</v>
      </c>
      <c r="F91" s="313">
        <v>35717803</v>
      </c>
      <c r="G91" s="315">
        <f>IF(ISBLANK(F91),"-",$D$101/$F$98*F91)</f>
        <v>19251546.848060593</v>
      </c>
      <c r="I91" s="316"/>
    </row>
    <row r="92" spans="1:12" ht="26.25" customHeight="1">
      <c r="A92" s="305" t="s">
        <v>65</v>
      </c>
      <c r="B92" s="306">
        <v>1</v>
      </c>
      <c r="C92" s="378">
        <v>2</v>
      </c>
      <c r="D92" s="318">
        <v>35844170</v>
      </c>
      <c r="E92" s="319">
        <f>IF(ISBLANK(D92),"-",$D$101/$D$98*D92)</f>
        <v>19230729.198924288</v>
      </c>
      <c r="F92" s="318">
        <v>35762617</v>
      </c>
      <c r="G92" s="320">
        <f>IF(ISBLANK(F92),"-",$D$101/$F$98*F92)</f>
        <v>19275701.15622028</v>
      </c>
      <c r="I92" s="496">
        <f>ABS((F96/D96*D95)-F95)/D95</f>
        <v>2.4133373479913486E-3</v>
      </c>
    </row>
    <row r="93" spans="1:12" ht="26.25" customHeight="1">
      <c r="A93" s="305" t="s">
        <v>66</v>
      </c>
      <c r="B93" s="306">
        <v>1</v>
      </c>
      <c r="C93" s="378">
        <v>3</v>
      </c>
      <c r="D93" s="318">
        <v>35873805</v>
      </c>
      <c r="E93" s="319">
        <f>IF(ISBLANK(D93),"-",$D$101/$D$98*D93)</f>
        <v>19246628.650907975</v>
      </c>
      <c r="F93" s="318">
        <v>35840302</v>
      </c>
      <c r="G93" s="320">
        <f>IF(ISBLANK(F93),"-",$D$101/$F$98*F93)</f>
        <v>19317572.612224769</v>
      </c>
      <c r="I93" s="496"/>
    </row>
    <row r="94" spans="1:12" ht="27" customHeight="1">
      <c r="A94" s="305" t="s">
        <v>67</v>
      </c>
      <c r="B94" s="306">
        <v>1</v>
      </c>
      <c r="C94" s="395">
        <v>4</v>
      </c>
      <c r="D94" s="323"/>
      <c r="E94" s="324" t="str">
        <f>IF(ISBLANK(D94),"-",$D$101/$D$98*D94)</f>
        <v>-</v>
      </c>
      <c r="F94" s="396"/>
      <c r="G94" s="325" t="str">
        <f>IF(ISBLANK(F94),"-",$D$101/$F$98*F94)</f>
        <v>-</v>
      </c>
      <c r="I94" s="326"/>
    </row>
    <row r="95" spans="1:12" ht="27" customHeight="1">
      <c r="A95" s="305" t="s">
        <v>68</v>
      </c>
      <c r="B95" s="306">
        <v>1</v>
      </c>
      <c r="C95" s="397" t="s">
        <v>69</v>
      </c>
      <c r="D95" s="398">
        <f>AVERAGE(D91:D94)</f>
        <v>35852077.666666664</v>
      </c>
      <c r="E95" s="329">
        <f>AVERAGE(E91:E94)</f>
        <v>19234971.735332917</v>
      </c>
      <c r="F95" s="399">
        <f>AVERAGE(F91:F94)</f>
        <v>35773574</v>
      </c>
      <c r="G95" s="400">
        <f>AVERAGE(G91:G94)</f>
        <v>19281606.872168545</v>
      </c>
    </row>
    <row r="96" spans="1:12" ht="26.25" customHeight="1">
      <c r="A96" s="305" t="s">
        <v>70</v>
      </c>
      <c r="B96" s="291">
        <v>1</v>
      </c>
      <c r="C96" s="401" t="s">
        <v>111</v>
      </c>
      <c r="D96" s="402">
        <v>8.69</v>
      </c>
      <c r="E96" s="321"/>
      <c r="F96" s="333">
        <v>8.65</v>
      </c>
    </row>
    <row r="97" spans="1:10" ht="26.25" customHeight="1">
      <c r="A97" s="305" t="s">
        <v>72</v>
      </c>
      <c r="B97" s="291">
        <v>1</v>
      </c>
      <c r="C97" s="403" t="s">
        <v>112</v>
      </c>
      <c r="D97" s="404">
        <f>D96*$B$87</f>
        <v>8.69</v>
      </c>
      <c r="E97" s="336"/>
      <c r="F97" s="335">
        <f>F96*$B$87</f>
        <v>8.65</v>
      </c>
    </row>
    <row r="98" spans="1:10" ht="19.5" customHeight="1">
      <c r="A98" s="305" t="s">
        <v>74</v>
      </c>
      <c r="B98" s="405">
        <f>(B97/B96)*(B95/B94)*(B93/B92)*(B91/B90)*B89</f>
        <v>41.666666666666671</v>
      </c>
      <c r="C98" s="403" t="s">
        <v>113</v>
      </c>
      <c r="D98" s="406">
        <f>D97*$B$83/100</f>
        <v>8.6291699999999985</v>
      </c>
      <c r="E98" s="339"/>
      <c r="F98" s="338">
        <f>F97*$B$83/100</f>
        <v>8.5894500000000011</v>
      </c>
    </row>
    <row r="99" spans="1:10" ht="19.5" customHeight="1">
      <c r="A99" s="497" t="s">
        <v>76</v>
      </c>
      <c r="B99" s="511"/>
      <c r="C99" s="403" t="s">
        <v>114</v>
      </c>
      <c r="D99" s="407">
        <f>D98/$B$98</f>
        <v>0.20710007999999994</v>
      </c>
      <c r="E99" s="339"/>
      <c r="F99" s="342">
        <f>F98/$B$98</f>
        <v>0.20614679999999999</v>
      </c>
      <c r="G99" s="408"/>
      <c r="H99" s="331"/>
    </row>
    <row r="100" spans="1:10" ht="19.5" customHeight="1">
      <c r="A100" s="499"/>
      <c r="B100" s="512"/>
      <c r="C100" s="403" t="s">
        <v>78</v>
      </c>
      <c r="D100" s="409">
        <f>$B$56/$B$116</f>
        <v>0.1111111111111111</v>
      </c>
      <c r="F100" s="347"/>
      <c r="G100" s="410"/>
      <c r="H100" s="331"/>
    </row>
    <row r="101" spans="1:10" ht="18.75">
      <c r="C101" s="403" t="s">
        <v>79</v>
      </c>
      <c r="D101" s="404">
        <f>D100*$B$98</f>
        <v>4.6296296296296298</v>
      </c>
      <c r="F101" s="347"/>
      <c r="G101" s="408"/>
      <c r="H101" s="331"/>
    </row>
    <row r="102" spans="1:10" ht="19.5" customHeight="1">
      <c r="C102" s="411" t="s">
        <v>80</v>
      </c>
      <c r="D102" s="412">
        <f>D101/B34</f>
        <v>4.6296296296296298</v>
      </c>
      <c r="F102" s="351"/>
      <c r="G102" s="408"/>
      <c r="H102" s="331"/>
      <c r="J102" s="413"/>
    </row>
    <row r="103" spans="1:10" ht="18.75">
      <c r="C103" s="414" t="s">
        <v>115</v>
      </c>
      <c r="D103" s="415">
        <f>AVERAGE(E91:E94,G91:G94)</f>
        <v>19258289.303750731</v>
      </c>
      <c r="F103" s="351"/>
      <c r="G103" s="416"/>
      <c r="H103" s="331"/>
      <c r="J103" s="417"/>
    </row>
    <row r="104" spans="1:10" ht="18.75">
      <c r="C104" s="381" t="s">
        <v>82</v>
      </c>
      <c r="D104" s="418">
        <f>STDEV(E91:E94,G91:G94)/D103</f>
        <v>1.7536939529853074E-3</v>
      </c>
      <c r="F104" s="351"/>
      <c r="G104" s="408"/>
      <c r="H104" s="331"/>
      <c r="J104" s="417"/>
    </row>
    <row r="105" spans="1:10" ht="19.5" customHeight="1">
      <c r="C105" s="383" t="s">
        <v>19</v>
      </c>
      <c r="D105" s="419">
        <f>COUNT(E91:E94,G91:G94)</f>
        <v>6</v>
      </c>
      <c r="F105" s="351"/>
      <c r="G105" s="408"/>
      <c r="H105" s="331"/>
      <c r="J105" s="417"/>
    </row>
    <row r="106" spans="1:10" ht="19.5" customHeight="1">
      <c r="A106" s="355"/>
      <c r="B106" s="355"/>
      <c r="C106" s="355"/>
      <c r="D106" s="355"/>
      <c r="E106" s="355"/>
    </row>
    <row r="107" spans="1:10" ht="26.25" customHeight="1">
      <c r="A107" s="303" t="s">
        <v>116</v>
      </c>
      <c r="B107" s="304">
        <v>900</v>
      </c>
      <c r="C107" s="420" t="s">
        <v>117</v>
      </c>
      <c r="D107" s="421" t="s">
        <v>61</v>
      </c>
      <c r="E107" s="422" t="s">
        <v>118</v>
      </c>
      <c r="F107" s="423" t="s">
        <v>119</v>
      </c>
    </row>
    <row r="108" spans="1:10" ht="26.25" customHeight="1">
      <c r="A108" s="305" t="s">
        <v>120</v>
      </c>
      <c r="B108" s="306">
        <v>1</v>
      </c>
      <c r="C108" s="424">
        <v>1</v>
      </c>
      <c r="D108" s="425">
        <v>18726542</v>
      </c>
      <c r="E108" s="456">
        <f t="shared" ref="E108:E113" si="1">IF(ISBLANK(D108),"-",D108/$D$103*$D$100*$B$116)</f>
        <v>97.238865325139912</v>
      </c>
      <c r="F108" s="426">
        <f t="shared" ref="F108:F113" si="2">IF(ISBLANK(D108), "-", E108/$B$56)</f>
        <v>0.97238865325139912</v>
      </c>
    </row>
    <row r="109" spans="1:10" ht="26.25" customHeight="1">
      <c r="A109" s="305" t="s">
        <v>93</v>
      </c>
      <c r="B109" s="306">
        <v>1</v>
      </c>
      <c r="C109" s="424">
        <v>2</v>
      </c>
      <c r="D109" s="425">
        <v>18448316</v>
      </c>
      <c r="E109" s="457">
        <f t="shared" si="1"/>
        <v>95.7941575652154</v>
      </c>
      <c r="F109" s="427">
        <f t="shared" si="2"/>
        <v>0.95794157565215399</v>
      </c>
    </row>
    <row r="110" spans="1:10" ht="26.25" customHeight="1">
      <c r="A110" s="305" t="s">
        <v>94</v>
      </c>
      <c r="B110" s="306">
        <v>1</v>
      </c>
      <c r="C110" s="424">
        <v>3</v>
      </c>
      <c r="D110" s="425">
        <v>20538502</v>
      </c>
      <c r="E110" s="457">
        <f t="shared" si="1"/>
        <v>106.64759302374762</v>
      </c>
      <c r="F110" s="427">
        <f t="shared" si="2"/>
        <v>1.0664759302374762</v>
      </c>
    </row>
    <row r="111" spans="1:10" ht="26.25" customHeight="1">
      <c r="A111" s="305" t="s">
        <v>95</v>
      </c>
      <c r="B111" s="306">
        <v>1</v>
      </c>
      <c r="C111" s="424">
        <v>4</v>
      </c>
      <c r="D111" s="425">
        <v>17369903</v>
      </c>
      <c r="E111" s="457">
        <f t="shared" si="1"/>
        <v>90.194423430003468</v>
      </c>
      <c r="F111" s="427">
        <f t="shared" si="2"/>
        <v>0.90194423430003468</v>
      </c>
    </row>
    <row r="112" spans="1:10" ht="26.25" customHeight="1">
      <c r="A112" s="305" t="s">
        <v>96</v>
      </c>
      <c r="B112" s="306">
        <v>1</v>
      </c>
      <c r="C112" s="424">
        <v>5</v>
      </c>
      <c r="D112" s="425">
        <v>18853221</v>
      </c>
      <c r="E112" s="457">
        <f t="shared" si="1"/>
        <v>97.89665479959406</v>
      </c>
      <c r="F112" s="427">
        <f t="shared" si="2"/>
        <v>0.97896654799594063</v>
      </c>
    </row>
    <row r="113" spans="1:10" ht="26.25" customHeight="1">
      <c r="A113" s="305" t="s">
        <v>98</v>
      </c>
      <c r="B113" s="306">
        <v>1</v>
      </c>
      <c r="C113" s="428">
        <v>6</v>
      </c>
      <c r="D113" s="429">
        <v>18166171</v>
      </c>
      <c r="E113" s="458">
        <f t="shared" si="1"/>
        <v>94.329100126572342</v>
      </c>
      <c r="F113" s="430">
        <f t="shared" si="2"/>
        <v>0.94329100126572341</v>
      </c>
    </row>
    <row r="114" spans="1:10" ht="26.25" customHeight="1">
      <c r="A114" s="305" t="s">
        <v>99</v>
      </c>
      <c r="B114" s="306">
        <v>1</v>
      </c>
      <c r="C114" s="424"/>
      <c r="D114" s="378"/>
      <c r="E114" s="279"/>
      <c r="F114" s="431"/>
    </row>
    <row r="115" spans="1:10" ht="26.25" customHeight="1">
      <c r="A115" s="305" t="s">
        <v>100</v>
      </c>
      <c r="B115" s="306">
        <v>1</v>
      </c>
      <c r="C115" s="424"/>
      <c r="D115" s="432" t="s">
        <v>69</v>
      </c>
      <c r="E115" s="460">
        <f>AVERAGE(E108:E113)</f>
        <v>97.01679904504546</v>
      </c>
      <c r="F115" s="433">
        <f>AVERAGE(F108:F113)</f>
        <v>0.97016799045045465</v>
      </c>
    </row>
    <row r="116" spans="1:10" ht="27" customHeight="1">
      <c r="A116" s="305" t="s">
        <v>101</v>
      </c>
      <c r="B116" s="337">
        <f>(B115/B114)*(B113/B112)*(B111/B110)*(B109/B108)*B107</f>
        <v>900</v>
      </c>
      <c r="C116" s="434"/>
      <c r="D116" s="397" t="s">
        <v>82</v>
      </c>
      <c r="E116" s="435">
        <f>STDEV(E108:E113)/E115</f>
        <v>5.6237561989684076E-2</v>
      </c>
      <c r="F116" s="435">
        <f>STDEV(F108:F113)/F115</f>
        <v>5.6237561989685804E-2</v>
      </c>
      <c r="I116" s="279"/>
    </row>
    <row r="117" spans="1:10" ht="27" customHeight="1">
      <c r="A117" s="497" t="s">
        <v>76</v>
      </c>
      <c r="B117" s="498"/>
      <c r="C117" s="436"/>
      <c r="D117" s="437" t="s">
        <v>19</v>
      </c>
      <c r="E117" s="438">
        <f>COUNT(E108:E113)</f>
        <v>6</v>
      </c>
      <c r="F117" s="438">
        <f>COUNT(F108:F113)</f>
        <v>6</v>
      </c>
      <c r="I117" s="279"/>
      <c r="J117" s="417"/>
    </row>
    <row r="118" spans="1:10" ht="19.5" customHeight="1">
      <c r="A118" s="499"/>
      <c r="B118" s="500"/>
      <c r="C118" s="279"/>
      <c r="D118" s="279"/>
      <c r="E118" s="279"/>
      <c r="F118" s="378"/>
      <c r="G118" s="279"/>
      <c r="H118" s="279"/>
      <c r="I118" s="279"/>
    </row>
    <row r="119" spans="1:10" ht="18.75">
      <c r="A119" s="447"/>
      <c r="B119" s="301"/>
      <c r="C119" s="279"/>
      <c r="D119" s="279"/>
      <c r="E119" s="279"/>
      <c r="F119" s="378"/>
      <c r="G119" s="279"/>
      <c r="H119" s="279"/>
      <c r="I119" s="279"/>
    </row>
    <row r="120" spans="1:10" ht="26.25" customHeight="1">
      <c r="A120" s="289" t="s">
        <v>104</v>
      </c>
      <c r="B120" s="385" t="s">
        <v>121</v>
      </c>
      <c r="C120" s="509" t="str">
        <f>B20</f>
        <v/>
      </c>
      <c r="D120" s="509"/>
      <c r="E120" s="386" t="s">
        <v>122</v>
      </c>
      <c r="F120" s="386"/>
      <c r="G120" s="387">
        <f>F115</f>
        <v>0.97016799045045465</v>
      </c>
      <c r="H120" s="279"/>
      <c r="I120" s="279"/>
    </row>
    <row r="121" spans="1:10" ht="19.5" customHeight="1">
      <c r="A121" s="439"/>
      <c r="B121" s="439"/>
      <c r="C121" s="440"/>
      <c r="D121" s="440"/>
      <c r="E121" s="440"/>
      <c r="F121" s="440"/>
      <c r="G121" s="440"/>
      <c r="H121" s="440"/>
    </row>
    <row r="122" spans="1:10" ht="18.75">
      <c r="B122" s="510" t="s">
        <v>24</v>
      </c>
      <c r="C122" s="510"/>
      <c r="E122" s="392" t="s">
        <v>25</v>
      </c>
      <c r="F122" s="441"/>
      <c r="G122" s="510" t="s">
        <v>26</v>
      </c>
      <c r="H122" s="510"/>
    </row>
    <row r="123" spans="1:10" ht="69.95" customHeight="1">
      <c r="A123" s="442" t="s">
        <v>27</v>
      </c>
      <c r="B123" s="443"/>
      <c r="C123" s="443"/>
      <c r="E123" s="443"/>
      <c r="F123" s="279"/>
      <c r="G123" s="444"/>
      <c r="H123" s="444"/>
    </row>
    <row r="124" spans="1:10" ht="69.95" customHeight="1">
      <c r="A124" s="442" t="s">
        <v>28</v>
      </c>
      <c r="B124" s="445"/>
      <c r="C124" s="445"/>
      <c r="E124" s="445"/>
      <c r="F124" s="279"/>
      <c r="G124" s="446"/>
      <c r="H124" s="446"/>
    </row>
    <row r="125" spans="1:10" ht="18.75">
      <c r="A125" s="377"/>
      <c r="B125" s="377"/>
      <c r="C125" s="378"/>
      <c r="D125" s="378"/>
      <c r="E125" s="378"/>
      <c r="F125" s="382"/>
      <c r="G125" s="378"/>
      <c r="H125" s="378"/>
      <c r="I125" s="279"/>
    </row>
    <row r="126" spans="1:10" ht="18.75">
      <c r="A126" s="377"/>
      <c r="B126" s="377"/>
      <c r="C126" s="378"/>
      <c r="D126" s="378"/>
      <c r="E126" s="378"/>
      <c r="F126" s="382"/>
      <c r="G126" s="378"/>
      <c r="H126" s="378"/>
      <c r="I126" s="279"/>
    </row>
    <row r="127" spans="1:10" ht="18.75">
      <c r="A127" s="377"/>
      <c r="B127" s="377"/>
      <c r="C127" s="378"/>
      <c r="D127" s="378"/>
      <c r="E127" s="378"/>
      <c r="F127" s="382"/>
      <c r="G127" s="378"/>
      <c r="H127" s="378"/>
      <c r="I127" s="279"/>
    </row>
    <row r="128" spans="1:10" ht="18.75">
      <c r="A128" s="377"/>
      <c r="B128" s="377"/>
      <c r="C128" s="378"/>
      <c r="D128" s="378"/>
      <c r="E128" s="378"/>
      <c r="F128" s="382"/>
      <c r="G128" s="378"/>
      <c r="H128" s="378"/>
      <c r="I128" s="279"/>
    </row>
    <row r="129" spans="1:9" ht="18.75">
      <c r="A129" s="377"/>
      <c r="B129" s="377"/>
      <c r="C129" s="378"/>
      <c r="D129" s="378"/>
      <c r="E129" s="378"/>
      <c r="F129" s="382"/>
      <c r="G129" s="378"/>
      <c r="H129" s="378"/>
      <c r="I129" s="279"/>
    </row>
    <row r="130" spans="1:9" ht="18.75">
      <c r="A130" s="377"/>
      <c r="B130" s="377"/>
      <c r="C130" s="378"/>
      <c r="D130" s="378"/>
      <c r="E130" s="378"/>
      <c r="F130" s="382"/>
      <c r="G130" s="378"/>
      <c r="H130" s="378"/>
      <c r="I130" s="279"/>
    </row>
    <row r="131" spans="1:9" ht="18.75">
      <c r="A131" s="377"/>
      <c r="B131" s="377"/>
      <c r="C131" s="378"/>
      <c r="D131" s="378"/>
      <c r="E131" s="378"/>
      <c r="F131" s="382"/>
      <c r="G131" s="378"/>
      <c r="H131" s="378"/>
      <c r="I131" s="279"/>
    </row>
    <row r="132" spans="1:9" ht="18.75">
      <c r="A132" s="377"/>
      <c r="B132" s="377"/>
      <c r="C132" s="378"/>
      <c r="D132" s="378"/>
      <c r="E132" s="378"/>
      <c r="F132" s="382"/>
      <c r="G132" s="378"/>
      <c r="H132" s="378"/>
      <c r="I132" s="279"/>
    </row>
    <row r="133" spans="1:9" ht="18.75">
      <c r="A133" s="377"/>
      <c r="B133" s="377"/>
      <c r="C133" s="378"/>
      <c r="D133" s="378"/>
      <c r="E133" s="378"/>
      <c r="F133" s="382"/>
      <c r="G133" s="378"/>
      <c r="H133" s="378"/>
      <c r="I133" s="279"/>
    </row>
    <row r="250" spans="1:1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topLeftCell="A86" zoomScale="60" zoomScaleNormal="60" zoomScaleSheetLayoutView="40" zoomScalePageLayoutView="55" workbookViewId="0">
      <selection activeCell="G114" sqref="G114"/>
    </sheetView>
  </sheetViews>
  <sheetFormatPr defaultColWidth="9.140625" defaultRowHeight="13.5"/>
  <cols>
    <col min="1" max="1" width="55.42578125" style="408" customWidth="1"/>
    <col min="2" max="2" width="33.7109375" style="408" customWidth="1"/>
    <col min="3" max="3" width="42.28515625" style="408" customWidth="1"/>
    <col min="4" max="4" width="30.5703125" style="408" customWidth="1"/>
    <col min="5" max="5" width="39.85546875" style="408" customWidth="1"/>
    <col min="6" max="6" width="30.7109375" style="408" customWidth="1"/>
    <col min="7" max="7" width="39.85546875" style="408" customWidth="1"/>
    <col min="8" max="8" width="30" style="408" customWidth="1"/>
    <col min="9" max="9" width="30.28515625" style="408" hidden="1" customWidth="1"/>
    <col min="10" max="10" width="30.42578125" style="408" customWidth="1"/>
    <col min="11" max="11" width="21.28515625" style="408" customWidth="1"/>
    <col min="12" max="12" width="9.140625" style="408"/>
    <col min="13" max="16384" width="9.140625" style="42"/>
  </cols>
  <sheetData>
    <row r="1" spans="1:9" ht="18.75" customHeight="1">
      <c r="A1" s="507" t="s">
        <v>43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>
      <c r="A7" s="507"/>
      <c r="B7" s="507"/>
      <c r="C7" s="507"/>
      <c r="D7" s="507"/>
      <c r="E7" s="507"/>
      <c r="F7" s="507"/>
      <c r="G7" s="507"/>
      <c r="H7" s="507"/>
      <c r="I7" s="507"/>
    </row>
    <row r="8" spans="1:9">
      <c r="A8" s="508" t="s">
        <v>44</v>
      </c>
      <c r="B8" s="508"/>
      <c r="C8" s="508"/>
      <c r="D8" s="508"/>
      <c r="E8" s="508"/>
      <c r="F8" s="508"/>
      <c r="G8" s="508"/>
      <c r="H8" s="508"/>
      <c r="I8" s="508"/>
    </row>
    <row r="9" spans="1:9">
      <c r="A9" s="508"/>
      <c r="B9" s="508"/>
      <c r="C9" s="508"/>
      <c r="D9" s="508"/>
      <c r="E9" s="508"/>
      <c r="F9" s="508"/>
      <c r="G9" s="508"/>
      <c r="H9" s="508"/>
      <c r="I9" s="508"/>
    </row>
    <row r="10" spans="1:9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 thickBot="1">
      <c r="A15" s="386"/>
    </row>
    <row r="16" spans="1:9" ht="19.5" customHeight="1" thickBot="1">
      <c r="A16" s="480" t="s">
        <v>29</v>
      </c>
      <c r="B16" s="481"/>
      <c r="C16" s="481"/>
      <c r="D16" s="481"/>
      <c r="E16" s="481"/>
      <c r="F16" s="481"/>
      <c r="G16" s="481"/>
      <c r="H16" s="482"/>
    </row>
    <row r="17" spans="1:14" ht="20.25" customHeight="1">
      <c r="A17" s="483" t="s">
        <v>45</v>
      </c>
      <c r="B17" s="483"/>
      <c r="C17" s="483"/>
      <c r="D17" s="483"/>
      <c r="E17" s="483"/>
      <c r="F17" s="483"/>
      <c r="G17" s="483"/>
      <c r="H17" s="483"/>
    </row>
    <row r="18" spans="1:14" ht="26.25" customHeight="1">
      <c r="A18" s="281" t="s">
        <v>31</v>
      </c>
      <c r="B18" s="479" t="s">
        <v>4</v>
      </c>
      <c r="C18" s="479"/>
      <c r="D18" s="448"/>
      <c r="E18" s="282"/>
      <c r="F18" s="461"/>
      <c r="G18" s="461"/>
      <c r="H18" s="461"/>
    </row>
    <row r="19" spans="1:14" ht="26.25" customHeight="1">
      <c r="A19" s="281" t="s">
        <v>32</v>
      </c>
      <c r="B19" s="467" t="s">
        <v>6</v>
      </c>
      <c r="C19" s="461">
        <v>29</v>
      </c>
      <c r="D19" s="461"/>
      <c r="E19" s="461"/>
      <c r="F19" s="461"/>
      <c r="G19" s="461"/>
      <c r="H19" s="461"/>
    </row>
    <row r="20" spans="1:14" ht="26.25" customHeight="1">
      <c r="A20" s="281" t="s">
        <v>33</v>
      </c>
      <c r="B20" s="484" t="s">
        <v>8</v>
      </c>
      <c r="C20" s="484"/>
      <c r="D20" s="461"/>
      <c r="E20" s="461"/>
      <c r="F20" s="461"/>
      <c r="G20" s="461"/>
      <c r="H20" s="461"/>
    </row>
    <row r="21" spans="1:14" ht="26.25" customHeight="1">
      <c r="A21" s="281" t="s">
        <v>34</v>
      </c>
      <c r="B21" s="484" t="s">
        <v>10</v>
      </c>
      <c r="C21" s="484"/>
      <c r="D21" s="484"/>
      <c r="E21" s="484"/>
      <c r="F21" s="484"/>
      <c r="G21" s="484"/>
      <c r="H21" s="484"/>
      <c r="I21" s="285"/>
    </row>
    <row r="22" spans="1:14" ht="26.25" customHeight="1">
      <c r="A22" s="281" t="s">
        <v>35</v>
      </c>
      <c r="B22" s="286">
        <f>Atazanavir!B22</f>
        <v>42592</v>
      </c>
      <c r="C22" s="461"/>
      <c r="D22" s="461"/>
      <c r="E22" s="461"/>
      <c r="F22" s="461"/>
      <c r="G22" s="461"/>
      <c r="H22" s="461"/>
    </row>
    <row r="23" spans="1:14" ht="26.25" customHeight="1">
      <c r="A23" s="281" t="s">
        <v>36</v>
      </c>
      <c r="B23" s="286">
        <f>Atazanavir!B23</f>
        <v>42597</v>
      </c>
      <c r="C23" s="461"/>
      <c r="D23" s="461"/>
      <c r="E23" s="461"/>
      <c r="F23" s="461"/>
      <c r="G23" s="461"/>
      <c r="H23" s="461"/>
    </row>
    <row r="24" spans="1:14" ht="18.75">
      <c r="A24" s="281"/>
      <c r="B24" s="287"/>
    </row>
    <row r="25" spans="1:14" ht="18.75">
      <c r="A25" s="288" t="s">
        <v>1</v>
      </c>
      <c r="B25" s="287"/>
    </row>
    <row r="26" spans="1:14" ht="26.25" customHeight="1">
      <c r="A26" s="442" t="s">
        <v>3</v>
      </c>
      <c r="B26" s="479" t="s">
        <v>125</v>
      </c>
      <c r="C26" s="479"/>
    </row>
    <row r="27" spans="1:14" ht="26.25" customHeight="1">
      <c r="A27" s="397" t="s">
        <v>46</v>
      </c>
      <c r="B27" s="485" t="s">
        <v>126</v>
      </c>
      <c r="C27" s="485"/>
    </row>
    <row r="28" spans="1:14" ht="27" customHeight="1" thickBot="1">
      <c r="A28" s="397" t="s">
        <v>5</v>
      </c>
      <c r="B28" s="389">
        <v>99.3</v>
      </c>
    </row>
    <row r="29" spans="1:14" s="14" customFormat="1" ht="27" customHeight="1" thickBot="1">
      <c r="A29" s="397" t="s">
        <v>47</v>
      </c>
      <c r="B29" s="292">
        <v>0</v>
      </c>
      <c r="C29" s="486" t="s">
        <v>48</v>
      </c>
      <c r="D29" s="487"/>
      <c r="E29" s="487"/>
      <c r="F29" s="487"/>
      <c r="G29" s="488"/>
      <c r="I29" s="293"/>
      <c r="J29" s="293"/>
      <c r="K29" s="293"/>
      <c r="L29" s="293"/>
    </row>
    <row r="30" spans="1:14" s="14" customFormat="1" ht="19.5" customHeight="1" thickBot="1">
      <c r="A30" s="397" t="s">
        <v>49</v>
      </c>
      <c r="B30" s="463">
        <f>B28-B29</f>
        <v>99.3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4" customFormat="1" ht="27" customHeight="1" thickBot="1">
      <c r="A31" s="397" t="s">
        <v>50</v>
      </c>
      <c r="B31" s="297">
        <v>1</v>
      </c>
      <c r="C31" s="489" t="s">
        <v>51</v>
      </c>
      <c r="D31" s="490"/>
      <c r="E31" s="490"/>
      <c r="F31" s="490"/>
      <c r="G31" s="490"/>
      <c r="H31" s="491"/>
      <c r="I31" s="293"/>
      <c r="J31" s="293"/>
      <c r="K31" s="293"/>
      <c r="L31" s="293"/>
    </row>
    <row r="32" spans="1:14" s="14" customFormat="1" ht="27" customHeight="1" thickBot="1">
      <c r="A32" s="397" t="s">
        <v>52</v>
      </c>
      <c r="B32" s="297">
        <v>1</v>
      </c>
      <c r="C32" s="489" t="s">
        <v>53</v>
      </c>
      <c r="D32" s="490"/>
      <c r="E32" s="490"/>
      <c r="F32" s="490"/>
      <c r="G32" s="490"/>
      <c r="H32" s="491"/>
      <c r="I32" s="293"/>
      <c r="J32" s="293"/>
      <c r="K32" s="293"/>
      <c r="L32" s="298"/>
      <c r="M32" s="298"/>
      <c r="N32" s="299"/>
    </row>
    <row r="33" spans="1:14" s="14" customFormat="1" ht="17.25" customHeight="1">
      <c r="A33" s="397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4" customFormat="1" ht="18.75">
      <c r="A34" s="397" t="s">
        <v>54</v>
      </c>
      <c r="B34" s="302">
        <f>B31/B32</f>
        <v>1</v>
      </c>
      <c r="C34" s="386" t="s">
        <v>55</v>
      </c>
      <c r="D34" s="386"/>
      <c r="E34" s="386"/>
      <c r="F34" s="386"/>
      <c r="G34" s="386"/>
      <c r="I34" s="293"/>
      <c r="J34" s="293"/>
      <c r="K34" s="293"/>
      <c r="L34" s="298"/>
      <c r="M34" s="298"/>
      <c r="N34" s="299"/>
    </row>
    <row r="35" spans="1:14" s="14" customFormat="1" ht="19.5" customHeight="1" thickBot="1">
      <c r="A35" s="397"/>
      <c r="B35" s="463"/>
      <c r="G35" s="386"/>
      <c r="I35" s="293"/>
      <c r="J35" s="293"/>
      <c r="K35" s="293"/>
      <c r="L35" s="298"/>
      <c r="M35" s="298"/>
      <c r="N35" s="299"/>
    </row>
    <row r="36" spans="1:14" s="14" customFormat="1" ht="27" customHeight="1" thickBot="1">
      <c r="A36" s="303" t="s">
        <v>56</v>
      </c>
      <c r="B36" s="304">
        <v>50</v>
      </c>
      <c r="C36" s="386"/>
      <c r="D36" s="492" t="s">
        <v>57</v>
      </c>
      <c r="E36" s="493"/>
      <c r="F36" s="492" t="s">
        <v>58</v>
      </c>
      <c r="G36" s="494"/>
      <c r="J36" s="293"/>
      <c r="K36" s="293"/>
      <c r="L36" s="298"/>
      <c r="M36" s="298"/>
      <c r="N36" s="299"/>
    </row>
    <row r="37" spans="1:14" s="14" customFormat="1" ht="27" customHeight="1" thickBot="1">
      <c r="A37" s="305" t="s">
        <v>59</v>
      </c>
      <c r="B37" s="306">
        <v>1</v>
      </c>
      <c r="C37" s="307" t="s">
        <v>60</v>
      </c>
      <c r="D37" s="308" t="s">
        <v>61</v>
      </c>
      <c r="E37" s="309" t="s">
        <v>62</v>
      </c>
      <c r="F37" s="308" t="s">
        <v>61</v>
      </c>
      <c r="G37" s="310" t="s">
        <v>62</v>
      </c>
      <c r="I37" s="311" t="s">
        <v>63</v>
      </c>
      <c r="J37" s="293"/>
      <c r="K37" s="293"/>
      <c r="L37" s="298"/>
      <c r="M37" s="298"/>
      <c r="N37" s="299"/>
    </row>
    <row r="38" spans="1:14" s="14" customFormat="1" ht="26.25" customHeight="1">
      <c r="A38" s="305" t="s">
        <v>64</v>
      </c>
      <c r="B38" s="306">
        <v>1</v>
      </c>
      <c r="C38" s="312">
        <v>1</v>
      </c>
      <c r="D38" s="313">
        <v>28899050</v>
      </c>
      <c r="E38" s="314">
        <f>IF(ISBLANK(D38),"-",$D$48/$D$45*D38)</f>
        <v>16338396.848112227</v>
      </c>
      <c r="F38" s="313">
        <v>26190397</v>
      </c>
      <c r="G38" s="315">
        <f>IF(ISBLANK(F38),"-",$D$48/$F$45*F38)</f>
        <v>16331283.068164458</v>
      </c>
      <c r="I38" s="316"/>
      <c r="J38" s="293"/>
      <c r="K38" s="293"/>
      <c r="L38" s="298"/>
      <c r="M38" s="298"/>
      <c r="N38" s="299"/>
    </row>
    <row r="39" spans="1:14" s="14" customFormat="1" ht="26.25" customHeight="1">
      <c r="A39" s="305" t="s">
        <v>65</v>
      </c>
      <c r="B39" s="306">
        <v>1</v>
      </c>
      <c r="C39" s="337">
        <v>2</v>
      </c>
      <c r="D39" s="318">
        <v>29152240</v>
      </c>
      <c r="E39" s="319">
        <f>IF(ISBLANK(D39),"-",$D$48/$D$45*D39)</f>
        <v>16481540.608823167</v>
      </c>
      <c r="F39" s="318">
        <v>26281615</v>
      </c>
      <c r="G39" s="320">
        <f>IF(ISBLANK(F39),"-",$D$48/$F$45*F39)</f>
        <v>16388162.961161569</v>
      </c>
      <c r="I39" s="496">
        <f>ABS((F43/D43*D42)-F42)/D42</f>
        <v>3.5005750226682372E-3</v>
      </c>
      <c r="J39" s="293"/>
      <c r="K39" s="293"/>
      <c r="L39" s="298"/>
      <c r="M39" s="298"/>
      <c r="N39" s="299"/>
    </row>
    <row r="40" spans="1:14" ht="26.25" customHeight="1">
      <c r="A40" s="305" t="s">
        <v>66</v>
      </c>
      <c r="B40" s="306">
        <v>1</v>
      </c>
      <c r="C40" s="337">
        <v>3</v>
      </c>
      <c r="D40" s="318">
        <v>29123824</v>
      </c>
      <c r="E40" s="319">
        <f>IF(ISBLANK(D40),"-",$D$48/$D$45*D40)</f>
        <v>16465475.309623508</v>
      </c>
      <c r="F40" s="318">
        <v>26261595</v>
      </c>
      <c r="G40" s="320">
        <f>IF(ISBLANK(F40),"-",$D$48/$F$45*F40)</f>
        <v>16375679.290638184</v>
      </c>
      <c r="I40" s="496"/>
      <c r="L40" s="298"/>
      <c r="M40" s="298"/>
      <c r="N40" s="386"/>
    </row>
    <row r="41" spans="1:14" ht="27" customHeight="1" thickBot="1">
      <c r="A41" s="305" t="s">
        <v>67</v>
      </c>
      <c r="B41" s="306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8"/>
      <c r="M41" s="298"/>
      <c r="N41" s="386"/>
    </row>
    <row r="42" spans="1:14" ht="27" customHeight="1" thickBot="1">
      <c r="A42" s="305" t="s">
        <v>68</v>
      </c>
      <c r="B42" s="306">
        <v>1</v>
      </c>
      <c r="C42" s="327" t="s">
        <v>69</v>
      </c>
      <c r="D42" s="328">
        <f>AVERAGE(D38:D41)</f>
        <v>29058371.333333332</v>
      </c>
      <c r="E42" s="329">
        <f>AVERAGE(E38:E41)</f>
        <v>16428470.9221863</v>
      </c>
      <c r="F42" s="328">
        <f>AVERAGE(F38:F41)</f>
        <v>26244535.666666668</v>
      </c>
      <c r="G42" s="330">
        <f>AVERAGE(G38:G41)</f>
        <v>16365041.773321405</v>
      </c>
      <c r="H42" s="331"/>
    </row>
    <row r="43" spans="1:14" ht="26.25" customHeight="1">
      <c r="A43" s="305" t="s">
        <v>70</v>
      </c>
      <c r="B43" s="306">
        <v>1</v>
      </c>
      <c r="C43" s="332" t="s">
        <v>71</v>
      </c>
      <c r="D43" s="333">
        <v>14.25</v>
      </c>
      <c r="E43" s="386"/>
      <c r="F43" s="333">
        <v>12.92</v>
      </c>
      <c r="H43" s="331"/>
    </row>
    <row r="44" spans="1:14" ht="26.25" customHeight="1">
      <c r="A44" s="305" t="s">
        <v>72</v>
      </c>
      <c r="B44" s="306">
        <v>1</v>
      </c>
      <c r="C44" s="334" t="s">
        <v>73</v>
      </c>
      <c r="D44" s="335">
        <f>D43*$B$34</f>
        <v>14.25</v>
      </c>
      <c r="E44" s="405"/>
      <c r="F44" s="335">
        <f>F43*$B$34</f>
        <v>12.92</v>
      </c>
      <c r="H44" s="331"/>
    </row>
    <row r="45" spans="1:14" ht="19.5" customHeight="1" thickBot="1">
      <c r="A45" s="305" t="s">
        <v>74</v>
      </c>
      <c r="B45" s="337">
        <f>(B44/B43)*(B42/B41)*(B40/B39)*(B38/B37)*B36</f>
        <v>50</v>
      </c>
      <c r="C45" s="334" t="s">
        <v>75</v>
      </c>
      <c r="D45" s="338">
        <f>D44*$B$30/100</f>
        <v>14.150249999999998</v>
      </c>
      <c r="E45" s="382"/>
      <c r="F45" s="338">
        <f>F44*$B$30/100</f>
        <v>12.829559999999999</v>
      </c>
      <c r="H45" s="331"/>
    </row>
    <row r="46" spans="1:14" ht="19.5" customHeight="1" thickBot="1">
      <c r="A46" s="497" t="s">
        <v>76</v>
      </c>
      <c r="B46" s="498"/>
      <c r="C46" s="334" t="s">
        <v>77</v>
      </c>
      <c r="D46" s="340">
        <f>D45/$B$45</f>
        <v>0.28300499999999995</v>
      </c>
      <c r="E46" s="341"/>
      <c r="F46" s="342">
        <f>F45/$B$45</f>
        <v>0.25659119999999996</v>
      </c>
      <c r="H46" s="331"/>
    </row>
    <row r="47" spans="1:14" ht="27" customHeight="1" thickBot="1">
      <c r="A47" s="499"/>
      <c r="B47" s="500"/>
      <c r="C47" s="343" t="s">
        <v>78</v>
      </c>
      <c r="D47" s="344">
        <v>0.16</v>
      </c>
      <c r="E47" s="345"/>
      <c r="F47" s="341"/>
      <c r="H47" s="331"/>
    </row>
    <row r="48" spans="1:14" ht="18.75">
      <c r="C48" s="346" t="s">
        <v>79</v>
      </c>
      <c r="D48" s="338">
        <f>D47*$B$45</f>
        <v>8</v>
      </c>
      <c r="F48" s="347"/>
      <c r="H48" s="331"/>
    </row>
    <row r="49" spans="1:12" ht="19.5" customHeight="1" thickBot="1">
      <c r="C49" s="348" t="s">
        <v>80</v>
      </c>
      <c r="D49" s="349">
        <f>D48/B34</f>
        <v>8</v>
      </c>
      <c r="F49" s="347"/>
      <c r="H49" s="331"/>
    </row>
    <row r="50" spans="1:12" ht="18.75">
      <c r="C50" s="303" t="s">
        <v>81</v>
      </c>
      <c r="D50" s="350">
        <f>AVERAGE(E38:E41,G38:G41)</f>
        <v>16396756.347753853</v>
      </c>
      <c r="F50" s="351"/>
      <c r="H50" s="331"/>
    </row>
    <row r="51" spans="1:12" ht="18.75">
      <c r="C51" s="305" t="s">
        <v>82</v>
      </c>
      <c r="D51" s="352">
        <f>STDEV(E38:E41,G38:G41)/D50</f>
        <v>3.8688818753694894E-3</v>
      </c>
      <c r="F51" s="351"/>
      <c r="H51" s="331"/>
    </row>
    <row r="52" spans="1:12" ht="19.5" customHeight="1" thickBot="1">
      <c r="C52" s="353" t="s">
        <v>19</v>
      </c>
      <c r="D52" s="354">
        <f>COUNT(E38:E41,G38:G41)</f>
        <v>6</v>
      </c>
      <c r="F52" s="351"/>
    </row>
    <row r="54" spans="1:12" ht="18.75">
      <c r="A54" s="355" t="s">
        <v>1</v>
      </c>
      <c r="B54" s="356" t="s">
        <v>83</v>
      </c>
    </row>
    <row r="55" spans="1:12" ht="18.75">
      <c r="A55" s="386" t="s">
        <v>84</v>
      </c>
      <c r="B55" s="358" t="str">
        <f>B21</f>
        <v>Each film tablet contains Atanszavir Sulfate 300 mg, Ritonavir 100 mg</v>
      </c>
    </row>
    <row r="56" spans="1:12" ht="26.25" customHeight="1">
      <c r="A56" s="358" t="s">
        <v>85</v>
      </c>
      <c r="B56" s="359">
        <v>100</v>
      </c>
      <c r="C56" s="386" t="str">
        <f>B20</f>
        <v>ATAZANAVIR, RITONAVIR</v>
      </c>
      <c r="H56" s="405"/>
    </row>
    <row r="57" spans="1:12" ht="18.75">
      <c r="A57" s="358" t="s">
        <v>86</v>
      </c>
      <c r="B57" s="449">
        <f>Uniformity!C46</f>
        <v>1972.5905</v>
      </c>
      <c r="H57" s="405"/>
    </row>
    <row r="58" spans="1:12" ht="19.5" customHeight="1" thickBot="1">
      <c r="H58" s="405"/>
    </row>
    <row r="59" spans="1:12" s="14" customFormat="1" ht="27" customHeight="1" thickBot="1">
      <c r="A59" s="303" t="s">
        <v>87</v>
      </c>
      <c r="B59" s="304">
        <v>250</v>
      </c>
      <c r="C59" s="386"/>
      <c r="D59" s="361" t="s">
        <v>88</v>
      </c>
      <c r="E59" s="362" t="s">
        <v>60</v>
      </c>
      <c r="F59" s="362" t="s">
        <v>61</v>
      </c>
      <c r="G59" s="362" t="s">
        <v>89</v>
      </c>
      <c r="H59" s="307" t="s">
        <v>90</v>
      </c>
      <c r="L59" s="293"/>
    </row>
    <row r="60" spans="1:12" s="14" customFormat="1" ht="26.25" customHeight="1">
      <c r="A60" s="305" t="s">
        <v>91</v>
      </c>
      <c r="B60" s="306">
        <v>4</v>
      </c>
      <c r="C60" s="501" t="s">
        <v>92</v>
      </c>
      <c r="D60" s="504">
        <f>Atazanavir!D60</f>
        <v>1965.81</v>
      </c>
      <c r="E60" s="363">
        <v>1</v>
      </c>
      <c r="F60" s="364">
        <v>16726639</v>
      </c>
      <c r="G60" s="450">
        <f>IF(ISBLANK(F60),"-",(F60/$D$50*$D$47*$B$68)*($B$57/$D$60))</f>
        <v>102.36373833196039</v>
      </c>
      <c r="H60" s="365">
        <f t="shared" ref="H60:H71" si="0">IF(ISBLANK(F60),"-",G60/$B$56)</f>
        <v>1.023637383319604</v>
      </c>
      <c r="L60" s="293"/>
    </row>
    <row r="61" spans="1:12" s="14" customFormat="1" ht="26.25" customHeight="1">
      <c r="A61" s="305" t="s">
        <v>93</v>
      </c>
      <c r="B61" s="306">
        <v>10</v>
      </c>
      <c r="C61" s="502"/>
      <c r="D61" s="505"/>
      <c r="E61" s="366">
        <v>2</v>
      </c>
      <c r="F61" s="318">
        <v>16795234</v>
      </c>
      <c r="G61" s="451">
        <f>IF(ISBLANK(F61),"-",(F61/$D$50*$D$47*$B$68)*($B$57/$D$60))</f>
        <v>102.78352623022739</v>
      </c>
      <c r="H61" s="367">
        <f t="shared" si="0"/>
        <v>1.027835262302274</v>
      </c>
      <c r="L61" s="293"/>
    </row>
    <row r="62" spans="1:12" s="14" customFormat="1" ht="26.25" customHeight="1">
      <c r="A62" s="305" t="s">
        <v>94</v>
      </c>
      <c r="B62" s="306">
        <v>1</v>
      </c>
      <c r="C62" s="502"/>
      <c r="D62" s="505"/>
      <c r="E62" s="366">
        <v>3</v>
      </c>
      <c r="F62" s="368">
        <v>16845864</v>
      </c>
      <c r="G62" s="451">
        <f>IF(ISBLANK(F62),"-",(F62/$D$50*$D$47*$B$68)*($B$57/$D$60))</f>
        <v>103.09337186459224</v>
      </c>
      <c r="H62" s="367">
        <f t="shared" si="0"/>
        <v>1.0309337186459224</v>
      </c>
      <c r="L62" s="293"/>
    </row>
    <row r="63" spans="1:12" ht="27" customHeight="1" thickBot="1">
      <c r="A63" s="305" t="s">
        <v>95</v>
      </c>
      <c r="B63" s="306">
        <v>1</v>
      </c>
      <c r="C63" s="503"/>
      <c r="D63" s="506"/>
      <c r="E63" s="369">
        <v>4</v>
      </c>
      <c r="F63" s="370"/>
      <c r="G63" s="451" t="str">
        <f>IF(ISBLANK(F63),"-",(F63/$D$50*$D$47*$B$68)*($B$57/$D$60))</f>
        <v>-</v>
      </c>
      <c r="H63" s="367" t="str">
        <f t="shared" si="0"/>
        <v>-</v>
      </c>
    </row>
    <row r="64" spans="1:12" ht="26.25" customHeight="1">
      <c r="A64" s="305" t="s">
        <v>96</v>
      </c>
      <c r="B64" s="306">
        <v>1</v>
      </c>
      <c r="C64" s="501" t="s">
        <v>97</v>
      </c>
      <c r="D64" s="504">
        <f>Atazanavir!D64</f>
        <v>1977.25</v>
      </c>
      <c r="E64" s="363">
        <v>1</v>
      </c>
      <c r="F64" s="364">
        <v>17451913</v>
      </c>
      <c r="G64" s="452">
        <f>IF(ISBLANK(F64),"-",(F64/$D$50*$D$47*$B$68)*($B$57/$D$64))</f>
        <v>106.18433441069874</v>
      </c>
      <c r="H64" s="371">
        <f t="shared" si="0"/>
        <v>1.0618433441069874</v>
      </c>
    </row>
    <row r="65" spans="1:8" ht="26.25" customHeight="1">
      <c r="A65" s="305" t="s">
        <v>98</v>
      </c>
      <c r="B65" s="306">
        <v>1</v>
      </c>
      <c r="C65" s="502"/>
      <c r="D65" s="505"/>
      <c r="E65" s="366">
        <v>2</v>
      </c>
      <c r="F65" s="318">
        <v>17406195</v>
      </c>
      <c r="G65" s="453">
        <f>IF(ISBLANK(F65),"-",(F65/$D$50*$D$47*$B$68)*($B$57/$D$64))</f>
        <v>105.90616803429126</v>
      </c>
      <c r="H65" s="372">
        <f t="shared" si="0"/>
        <v>1.0590616803429125</v>
      </c>
    </row>
    <row r="66" spans="1:8" ht="26.25" customHeight="1">
      <c r="A66" s="305" t="s">
        <v>99</v>
      </c>
      <c r="B66" s="306">
        <v>1</v>
      </c>
      <c r="C66" s="502"/>
      <c r="D66" s="505"/>
      <c r="E66" s="366">
        <v>3</v>
      </c>
      <c r="F66" s="318">
        <v>17238478</v>
      </c>
      <c r="G66" s="453">
        <f>IF(ISBLANK(F66),"-",(F66/$D$50*$D$47*$B$68)*($B$57/$D$64))</f>
        <v>104.8857115368082</v>
      </c>
      <c r="H66" s="372">
        <f t="shared" si="0"/>
        <v>1.0488571153680821</v>
      </c>
    </row>
    <row r="67" spans="1:8" ht="27" customHeight="1" thickBot="1">
      <c r="A67" s="305" t="s">
        <v>100</v>
      </c>
      <c r="B67" s="306">
        <v>1</v>
      </c>
      <c r="C67" s="503"/>
      <c r="D67" s="506"/>
      <c r="E67" s="369">
        <v>4</v>
      </c>
      <c r="F67" s="370"/>
      <c r="G67" s="454" t="str">
        <f>IF(ISBLANK(F67),"-",(F67/$D$50*$D$47*$B$68)*($B$57/$D$64))</f>
        <v>-</v>
      </c>
      <c r="H67" s="373" t="str">
        <f t="shared" si="0"/>
        <v>-</v>
      </c>
    </row>
    <row r="68" spans="1:8" ht="26.25" customHeight="1">
      <c r="A68" s="305" t="s">
        <v>101</v>
      </c>
      <c r="B68" s="374">
        <f>(B67/B66)*(B65/B64)*(B63/B62)*(B61/B60)*B59</f>
        <v>625</v>
      </c>
      <c r="C68" s="501" t="s">
        <v>102</v>
      </c>
      <c r="D68" s="504">
        <f>Atazanavir!D68</f>
        <v>1969.84</v>
      </c>
      <c r="E68" s="363">
        <v>1</v>
      </c>
      <c r="F68" s="364">
        <v>16789467</v>
      </c>
      <c r="G68" s="452">
        <f>IF(ISBLANK(F68),"-",(F68/$D$50*$D$47*$B$68)*($B$57/$D$68))</f>
        <v>102.53802570428461</v>
      </c>
      <c r="H68" s="367">
        <f t="shared" si="0"/>
        <v>1.0253802570428461</v>
      </c>
    </row>
    <row r="69" spans="1:8" ht="27" customHeight="1" thickBot="1">
      <c r="A69" s="353" t="s">
        <v>103</v>
      </c>
      <c r="B69" s="375">
        <f>(D47*B68)/B56*B57</f>
        <v>1972.5905</v>
      </c>
      <c r="C69" s="502"/>
      <c r="D69" s="505"/>
      <c r="E69" s="366">
        <v>2</v>
      </c>
      <c r="F69" s="318">
        <v>16846074</v>
      </c>
      <c r="G69" s="453">
        <f>IF(ISBLANK(F69),"-",(F69/$D$50*$D$47*$B$68)*($B$57/$D$68))</f>
        <v>102.88374067075988</v>
      </c>
      <c r="H69" s="367">
        <f t="shared" si="0"/>
        <v>1.0288374067075987</v>
      </c>
    </row>
    <row r="70" spans="1:8" ht="26.25" customHeight="1">
      <c r="A70" s="514" t="s">
        <v>76</v>
      </c>
      <c r="B70" s="515"/>
      <c r="C70" s="502"/>
      <c r="D70" s="505"/>
      <c r="E70" s="366">
        <v>3</v>
      </c>
      <c r="F70" s="318">
        <v>16693128</v>
      </c>
      <c r="G70" s="453">
        <f>IF(ISBLANK(F70),"-",(F70/$D$50*$D$47*$B$68)*($B$57/$D$68))</f>
        <v>101.94965617127174</v>
      </c>
      <c r="H70" s="367">
        <f t="shared" si="0"/>
        <v>1.0194965617127174</v>
      </c>
    </row>
    <row r="71" spans="1:8" ht="27" customHeight="1" thickBot="1">
      <c r="A71" s="516"/>
      <c r="B71" s="517"/>
      <c r="C71" s="513"/>
      <c r="D71" s="506"/>
      <c r="E71" s="369">
        <v>4</v>
      </c>
      <c r="F71" s="370"/>
      <c r="G71" s="454" t="str">
        <f>IF(ISBLANK(F71),"-",(F71/$D$50*$D$47*$B$68)*($B$57/$D$68))</f>
        <v>-</v>
      </c>
      <c r="H71" s="376" t="str">
        <f t="shared" si="0"/>
        <v>-</v>
      </c>
    </row>
    <row r="72" spans="1:8" ht="26.25" customHeight="1">
      <c r="A72" s="405"/>
      <c r="B72" s="405"/>
      <c r="C72" s="405"/>
      <c r="D72" s="405"/>
      <c r="E72" s="405"/>
      <c r="F72" s="379" t="s">
        <v>69</v>
      </c>
      <c r="G72" s="459">
        <f>AVERAGE(G60:G71)</f>
        <v>103.62091921721048</v>
      </c>
      <c r="H72" s="380">
        <f>AVERAGE(H60:H71)</f>
        <v>1.0362091921721051</v>
      </c>
    </row>
    <row r="73" spans="1:8" ht="26.25" customHeight="1">
      <c r="C73" s="405"/>
      <c r="D73" s="405"/>
      <c r="E73" s="405"/>
      <c r="F73" s="381" t="s">
        <v>82</v>
      </c>
      <c r="G73" s="455">
        <f>STDEV(G60:G71)/G72</f>
        <v>1.5434264011562714E-2</v>
      </c>
      <c r="H73" s="455">
        <f>STDEV(H60:H71)/H72</f>
        <v>1.5434264011554923E-2</v>
      </c>
    </row>
    <row r="74" spans="1:8" ht="27" customHeight="1" thickBot="1">
      <c r="A74" s="405"/>
      <c r="B74" s="405"/>
      <c r="C74" s="405"/>
      <c r="D74" s="405"/>
      <c r="E74" s="382"/>
      <c r="F74" s="383" t="s">
        <v>19</v>
      </c>
      <c r="G74" s="384">
        <f>COUNT(G60:G71)</f>
        <v>9</v>
      </c>
      <c r="H74" s="384">
        <f>COUNT(H60:H71)</f>
        <v>9</v>
      </c>
    </row>
    <row r="76" spans="1:8" ht="26.25" customHeight="1">
      <c r="A76" s="442" t="s">
        <v>104</v>
      </c>
      <c r="B76" s="397" t="s">
        <v>105</v>
      </c>
      <c r="C76" s="509" t="str">
        <f>B20</f>
        <v>ATAZANAVIR, RITONAVIR</v>
      </c>
      <c r="D76" s="509"/>
      <c r="E76" s="386" t="s">
        <v>106</v>
      </c>
      <c r="F76" s="386"/>
      <c r="G76" s="387">
        <f>H72</f>
        <v>1.0362091921721051</v>
      </c>
      <c r="H76" s="463"/>
    </row>
    <row r="77" spans="1:8" ht="18.75">
      <c r="A77" s="288" t="s">
        <v>107</v>
      </c>
      <c r="B77" s="288" t="s">
        <v>108</v>
      </c>
    </row>
    <row r="78" spans="1:8" ht="18.75">
      <c r="A78" s="288"/>
      <c r="B78" s="288"/>
    </row>
    <row r="79" spans="1:8" ht="26.25" customHeight="1">
      <c r="A79" s="442" t="s">
        <v>3</v>
      </c>
      <c r="B79" s="495" t="str">
        <f>B26</f>
        <v>Ritonavir</v>
      </c>
      <c r="C79" s="495"/>
    </row>
    <row r="80" spans="1:8" ht="26.25" customHeight="1">
      <c r="A80" s="397" t="s">
        <v>46</v>
      </c>
      <c r="B80" s="495" t="str">
        <f>B27</f>
        <v>R9-1</v>
      </c>
      <c r="C80" s="495"/>
    </row>
    <row r="81" spans="1:12" ht="27" customHeight="1" thickBot="1">
      <c r="A81" s="397" t="s">
        <v>5</v>
      </c>
      <c r="B81" s="389">
        <f>B28</f>
        <v>99.3</v>
      </c>
    </row>
    <row r="82" spans="1:12" s="14" customFormat="1" ht="27" customHeight="1" thickBot="1">
      <c r="A82" s="397" t="s">
        <v>47</v>
      </c>
      <c r="B82" s="292">
        <v>0</v>
      </c>
      <c r="C82" s="486" t="s">
        <v>48</v>
      </c>
      <c r="D82" s="487"/>
      <c r="E82" s="487"/>
      <c r="F82" s="487"/>
      <c r="G82" s="488"/>
      <c r="I82" s="293"/>
      <c r="J82" s="293"/>
      <c r="K82" s="293"/>
      <c r="L82" s="293"/>
    </row>
    <row r="83" spans="1:12" s="14" customFormat="1" ht="19.5" customHeight="1" thickBot="1">
      <c r="A83" s="397" t="s">
        <v>49</v>
      </c>
      <c r="B83" s="463">
        <f>B81-B82</f>
        <v>99.3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4" customFormat="1" ht="27" customHeight="1" thickBot="1">
      <c r="A84" s="397" t="s">
        <v>50</v>
      </c>
      <c r="B84" s="297">
        <v>1</v>
      </c>
      <c r="C84" s="489" t="s">
        <v>109</v>
      </c>
      <c r="D84" s="490"/>
      <c r="E84" s="490"/>
      <c r="F84" s="490"/>
      <c r="G84" s="490"/>
      <c r="H84" s="491"/>
      <c r="I84" s="293"/>
      <c r="J84" s="293"/>
      <c r="K84" s="293"/>
      <c r="L84" s="293"/>
    </row>
    <row r="85" spans="1:12" s="14" customFormat="1" ht="27" customHeight="1" thickBot="1">
      <c r="A85" s="397" t="s">
        <v>52</v>
      </c>
      <c r="B85" s="297">
        <v>1</v>
      </c>
      <c r="C85" s="489" t="s">
        <v>110</v>
      </c>
      <c r="D85" s="490"/>
      <c r="E85" s="490"/>
      <c r="F85" s="490"/>
      <c r="G85" s="490"/>
      <c r="H85" s="491"/>
      <c r="I85" s="293"/>
      <c r="J85" s="293"/>
      <c r="K85" s="293"/>
      <c r="L85" s="293"/>
    </row>
    <row r="86" spans="1:12" s="14" customFormat="1" ht="18.75">
      <c r="A86" s="397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4" customFormat="1" ht="18.75">
      <c r="A87" s="397" t="s">
        <v>54</v>
      </c>
      <c r="B87" s="302">
        <f>B84/B85</f>
        <v>1</v>
      </c>
      <c r="C87" s="386" t="s">
        <v>55</v>
      </c>
      <c r="D87" s="386"/>
      <c r="E87" s="386"/>
      <c r="F87" s="386"/>
      <c r="G87" s="386"/>
      <c r="I87" s="293"/>
      <c r="J87" s="293"/>
      <c r="K87" s="293"/>
      <c r="L87" s="293"/>
    </row>
    <row r="88" spans="1:12" ht="19.5" customHeight="1" thickBot="1">
      <c r="A88" s="288"/>
      <c r="B88" s="288"/>
    </row>
    <row r="89" spans="1:12" ht="27" customHeight="1" thickBot="1">
      <c r="A89" s="303" t="s">
        <v>56</v>
      </c>
      <c r="B89" s="304">
        <v>25</v>
      </c>
      <c r="D89" s="465" t="s">
        <v>57</v>
      </c>
      <c r="E89" s="468"/>
      <c r="F89" s="492" t="s">
        <v>58</v>
      </c>
      <c r="G89" s="494"/>
    </row>
    <row r="90" spans="1:12" ht="27" customHeight="1" thickBot="1">
      <c r="A90" s="305" t="s">
        <v>59</v>
      </c>
      <c r="B90" s="306">
        <v>15</v>
      </c>
      <c r="C90" s="464" t="s">
        <v>60</v>
      </c>
      <c r="D90" s="308" t="s">
        <v>61</v>
      </c>
      <c r="E90" s="309" t="s">
        <v>62</v>
      </c>
      <c r="F90" s="308" t="s">
        <v>61</v>
      </c>
      <c r="G90" s="393" t="s">
        <v>62</v>
      </c>
      <c r="I90" s="311" t="s">
        <v>63</v>
      </c>
    </row>
    <row r="91" spans="1:12" ht="26.25" customHeight="1">
      <c r="A91" s="305" t="s">
        <v>64</v>
      </c>
      <c r="B91" s="306">
        <v>25</v>
      </c>
      <c r="C91" s="394">
        <v>1</v>
      </c>
      <c r="D91" s="313">
        <v>35838258</v>
      </c>
      <c r="E91" s="314">
        <f>IF(ISBLANK(D91),"-",$D$101/$D$98*D91)</f>
        <v>19227557.356166486</v>
      </c>
      <c r="F91" s="313">
        <v>35717803</v>
      </c>
      <c r="G91" s="315">
        <f>IF(ISBLANK(F91),"-",$D$101/$F$98*F91)</f>
        <v>19251546.848060593</v>
      </c>
      <c r="I91" s="316"/>
    </row>
    <row r="92" spans="1:12" ht="26.25" customHeight="1">
      <c r="A92" s="305" t="s">
        <v>65</v>
      </c>
      <c r="B92" s="306">
        <v>1</v>
      </c>
      <c r="C92" s="405">
        <v>2</v>
      </c>
      <c r="D92" s="318">
        <v>35844170</v>
      </c>
      <c r="E92" s="319">
        <f>IF(ISBLANK(D92),"-",$D$101/$D$98*D92)</f>
        <v>19230729.198924288</v>
      </c>
      <c r="F92" s="318">
        <v>35762617</v>
      </c>
      <c r="G92" s="320">
        <f>IF(ISBLANK(F92),"-",$D$101/$F$98*F92)</f>
        <v>19275701.15622028</v>
      </c>
      <c r="I92" s="496">
        <f>ABS((F96/D96*D95)-F95)/D95</f>
        <v>2.4133373479913486E-3</v>
      </c>
    </row>
    <row r="93" spans="1:12" ht="26.25" customHeight="1">
      <c r="A93" s="305" t="s">
        <v>66</v>
      </c>
      <c r="B93" s="306">
        <v>1</v>
      </c>
      <c r="C93" s="405">
        <v>3</v>
      </c>
      <c r="D93" s="318">
        <v>35873805</v>
      </c>
      <c r="E93" s="319">
        <f>IF(ISBLANK(D93),"-",$D$101/$D$98*D93)</f>
        <v>19246628.650907975</v>
      </c>
      <c r="F93" s="318">
        <v>35840302</v>
      </c>
      <c r="G93" s="320">
        <f>IF(ISBLANK(F93),"-",$D$101/$F$98*F93)</f>
        <v>19317572.612224769</v>
      </c>
      <c r="I93" s="496"/>
    </row>
    <row r="94" spans="1:12" ht="27" customHeight="1" thickBot="1">
      <c r="A94" s="305" t="s">
        <v>67</v>
      </c>
      <c r="B94" s="306">
        <v>1</v>
      </c>
      <c r="C94" s="395">
        <v>4</v>
      </c>
      <c r="D94" s="323"/>
      <c r="E94" s="324" t="str">
        <f>IF(ISBLANK(D94),"-",$D$101/$D$98*D94)</f>
        <v>-</v>
      </c>
      <c r="F94" s="396"/>
      <c r="G94" s="325" t="str">
        <f>IF(ISBLANK(F94),"-",$D$101/$F$98*F94)</f>
        <v>-</v>
      </c>
      <c r="I94" s="326"/>
    </row>
    <row r="95" spans="1:12" ht="27" customHeight="1" thickBot="1">
      <c r="A95" s="305" t="s">
        <v>68</v>
      </c>
      <c r="B95" s="306">
        <v>1</v>
      </c>
      <c r="C95" s="397" t="s">
        <v>69</v>
      </c>
      <c r="D95" s="398">
        <f>AVERAGE(D91:D94)</f>
        <v>35852077.666666664</v>
      </c>
      <c r="E95" s="329">
        <f>AVERAGE(E91:E94)</f>
        <v>19234971.735332917</v>
      </c>
      <c r="F95" s="399">
        <f>AVERAGE(F91:F94)</f>
        <v>35773574</v>
      </c>
      <c r="G95" s="400">
        <f>AVERAGE(G91:G94)</f>
        <v>19281606.872168545</v>
      </c>
    </row>
    <row r="96" spans="1:12" ht="26.25" customHeight="1">
      <c r="A96" s="305" t="s">
        <v>70</v>
      </c>
      <c r="B96" s="389">
        <v>1</v>
      </c>
      <c r="C96" s="401" t="s">
        <v>111</v>
      </c>
      <c r="D96" s="402">
        <v>8.69</v>
      </c>
      <c r="E96" s="386"/>
      <c r="F96" s="333">
        <v>8.65</v>
      </c>
    </row>
    <row r="97" spans="1:10" ht="26.25" customHeight="1">
      <c r="A97" s="305" t="s">
        <v>72</v>
      </c>
      <c r="B97" s="389">
        <v>1</v>
      </c>
      <c r="C97" s="403" t="s">
        <v>112</v>
      </c>
      <c r="D97" s="404">
        <f>D96*$B$87</f>
        <v>8.69</v>
      </c>
      <c r="E97" s="405"/>
      <c r="F97" s="335">
        <f>F96*$B$87</f>
        <v>8.65</v>
      </c>
    </row>
    <row r="98" spans="1:10" ht="19.5" customHeight="1" thickBot="1">
      <c r="A98" s="305" t="s">
        <v>74</v>
      </c>
      <c r="B98" s="405">
        <f>(B97/B96)*(B95/B94)*(B93/B92)*(B91/B90)*B89</f>
        <v>41.666666666666671</v>
      </c>
      <c r="C98" s="403" t="s">
        <v>113</v>
      </c>
      <c r="D98" s="406">
        <f>D97*$B$83/100</f>
        <v>8.6291699999999985</v>
      </c>
      <c r="E98" s="382"/>
      <c r="F98" s="338">
        <f>F97*$B$83/100</f>
        <v>8.5894500000000011</v>
      </c>
    </row>
    <row r="99" spans="1:10" ht="19.5" customHeight="1" thickBot="1">
      <c r="A99" s="497" t="s">
        <v>76</v>
      </c>
      <c r="B99" s="511"/>
      <c r="C99" s="403" t="s">
        <v>114</v>
      </c>
      <c r="D99" s="407">
        <f>D98/$B$98</f>
        <v>0.20710007999999994</v>
      </c>
      <c r="E99" s="382"/>
      <c r="F99" s="342">
        <f>F98/$B$98</f>
        <v>0.20614679999999999</v>
      </c>
      <c r="H99" s="331"/>
    </row>
    <row r="100" spans="1:10" ht="19.5" customHeight="1" thickBot="1">
      <c r="A100" s="499"/>
      <c r="B100" s="512"/>
      <c r="C100" s="403" t="s">
        <v>78</v>
      </c>
      <c r="D100" s="409">
        <f>$B$56/$B$116</f>
        <v>0.1111111111111111</v>
      </c>
      <c r="F100" s="347"/>
      <c r="G100" s="416"/>
      <c r="H100" s="331"/>
    </row>
    <row r="101" spans="1:10" ht="18.75">
      <c r="C101" s="403" t="s">
        <v>79</v>
      </c>
      <c r="D101" s="404">
        <f>D100*$B$98</f>
        <v>4.6296296296296298</v>
      </c>
      <c r="F101" s="347"/>
      <c r="H101" s="331"/>
    </row>
    <row r="102" spans="1:10" ht="19.5" customHeight="1" thickBot="1">
      <c r="C102" s="411" t="s">
        <v>80</v>
      </c>
      <c r="D102" s="412">
        <f>D101/B34</f>
        <v>4.6296296296296298</v>
      </c>
      <c r="F102" s="351"/>
      <c r="H102" s="331"/>
      <c r="J102" s="413"/>
    </row>
    <row r="103" spans="1:10" ht="18.75">
      <c r="C103" s="414" t="s">
        <v>115</v>
      </c>
      <c r="D103" s="415">
        <f>AVERAGE(E91:E94,G91:G94)</f>
        <v>19258289.303750731</v>
      </c>
      <c r="F103" s="351"/>
      <c r="G103" s="416"/>
      <c r="H103" s="331"/>
      <c r="J103" s="417"/>
    </row>
    <row r="104" spans="1:10" ht="18.75">
      <c r="C104" s="381" t="s">
        <v>82</v>
      </c>
      <c r="D104" s="418">
        <f>STDEV(E91:E94,G91:G94)/D103</f>
        <v>1.7536939529853074E-3</v>
      </c>
      <c r="F104" s="351"/>
      <c r="H104" s="331"/>
      <c r="J104" s="417"/>
    </row>
    <row r="105" spans="1:10" ht="19.5" customHeight="1" thickBot="1">
      <c r="C105" s="383" t="s">
        <v>19</v>
      </c>
      <c r="D105" s="419">
        <f>COUNT(E91:E94,G91:G94)</f>
        <v>6</v>
      </c>
      <c r="F105" s="351"/>
      <c r="H105" s="331"/>
      <c r="J105" s="417"/>
    </row>
    <row r="106" spans="1:10" ht="19.5" customHeight="1" thickBot="1">
      <c r="A106" s="355"/>
      <c r="B106" s="355"/>
      <c r="C106" s="355"/>
      <c r="D106" s="355"/>
      <c r="E106" s="355"/>
    </row>
    <row r="107" spans="1:10" ht="26.25" customHeight="1">
      <c r="A107" s="303" t="s">
        <v>116</v>
      </c>
      <c r="B107" s="304">
        <v>900</v>
      </c>
      <c r="C107" s="465" t="s">
        <v>117</v>
      </c>
      <c r="D107" s="421" t="s">
        <v>61</v>
      </c>
      <c r="E107" s="422" t="s">
        <v>118</v>
      </c>
      <c r="F107" s="423" t="s">
        <v>119</v>
      </c>
    </row>
    <row r="108" spans="1:10" ht="26.25" customHeight="1">
      <c r="A108" s="305" t="s">
        <v>120</v>
      </c>
      <c r="B108" s="306">
        <v>1</v>
      </c>
      <c r="C108" s="424">
        <v>1</v>
      </c>
      <c r="D108" s="425">
        <v>18002780</v>
      </c>
      <c r="E108" s="456">
        <f t="shared" ref="E108:E113" si="1">IF(ISBLANK(D108),"-",D108/$D$103*$D$100*$B$116)</f>
        <v>93.480681051425421</v>
      </c>
      <c r="F108" s="426">
        <f t="shared" ref="F108:F113" si="2">IF(ISBLANK(D108), "-", E108/$B$56)</f>
        <v>0.93480681051425418</v>
      </c>
    </row>
    <row r="109" spans="1:10" ht="26.25" customHeight="1">
      <c r="A109" s="305" t="s">
        <v>93</v>
      </c>
      <c r="B109" s="306">
        <v>1</v>
      </c>
      <c r="C109" s="424">
        <v>2</v>
      </c>
      <c r="D109" s="425">
        <v>19716945</v>
      </c>
      <c r="E109" s="457">
        <f t="shared" si="1"/>
        <v>102.38160144452674</v>
      </c>
      <c r="F109" s="427">
        <f t="shared" si="2"/>
        <v>1.0238160144452673</v>
      </c>
    </row>
    <row r="110" spans="1:10" ht="26.25" customHeight="1">
      <c r="A110" s="305" t="s">
        <v>94</v>
      </c>
      <c r="B110" s="306">
        <v>1</v>
      </c>
      <c r="C110" s="424">
        <v>3</v>
      </c>
      <c r="D110" s="425">
        <v>18055129</v>
      </c>
      <c r="E110" s="457">
        <f t="shared" si="1"/>
        <v>93.752506856793318</v>
      </c>
      <c r="F110" s="427">
        <f t="shared" si="2"/>
        <v>0.93752506856793316</v>
      </c>
    </row>
    <row r="111" spans="1:10" ht="26.25" customHeight="1">
      <c r="A111" s="305" t="s">
        <v>95</v>
      </c>
      <c r="B111" s="306">
        <v>1</v>
      </c>
      <c r="C111" s="424">
        <v>4</v>
      </c>
      <c r="D111" s="425">
        <v>20358040</v>
      </c>
      <c r="E111" s="457">
        <f t="shared" si="1"/>
        <v>105.7105315996841</v>
      </c>
      <c r="F111" s="427">
        <f t="shared" si="2"/>
        <v>1.0571053159968411</v>
      </c>
    </row>
    <row r="112" spans="1:10" ht="26.25" customHeight="1">
      <c r="A112" s="305" t="s">
        <v>96</v>
      </c>
      <c r="B112" s="306">
        <v>1</v>
      </c>
      <c r="C112" s="424">
        <v>5</v>
      </c>
      <c r="D112" s="425">
        <v>20040992</v>
      </c>
      <c r="E112" s="457">
        <f t="shared" si="1"/>
        <v>104.06423791804202</v>
      </c>
      <c r="F112" s="427">
        <f t="shared" si="2"/>
        <v>1.0406423791804202</v>
      </c>
    </row>
    <row r="113" spans="1:10" ht="26.25" customHeight="1">
      <c r="A113" s="305" t="s">
        <v>98</v>
      </c>
      <c r="B113" s="306">
        <v>1</v>
      </c>
      <c r="C113" s="428">
        <v>6</v>
      </c>
      <c r="D113" s="429">
        <v>18657027</v>
      </c>
      <c r="E113" s="458">
        <f t="shared" si="1"/>
        <v>96.877903876780834</v>
      </c>
      <c r="F113" s="430">
        <f t="shared" si="2"/>
        <v>0.96877903876780835</v>
      </c>
    </row>
    <row r="114" spans="1:10" ht="26.25" customHeight="1">
      <c r="A114" s="305" t="s">
        <v>99</v>
      </c>
      <c r="B114" s="306">
        <v>1</v>
      </c>
      <c r="C114" s="424"/>
      <c r="D114" s="405"/>
      <c r="E114" s="386"/>
      <c r="F114" s="431"/>
    </row>
    <row r="115" spans="1:10" ht="26.25" customHeight="1">
      <c r="A115" s="305" t="s">
        <v>100</v>
      </c>
      <c r="B115" s="306">
        <v>1</v>
      </c>
      <c r="C115" s="424"/>
      <c r="D115" s="432" t="s">
        <v>69</v>
      </c>
      <c r="E115" s="460">
        <f>AVERAGE(E108:E113)</f>
        <v>99.377910457875416</v>
      </c>
      <c r="F115" s="433">
        <f>AVERAGE(F108:F113)</f>
        <v>0.99377910457875407</v>
      </c>
    </row>
    <row r="116" spans="1:10" ht="27" customHeight="1" thickBot="1">
      <c r="A116" s="305" t="s">
        <v>101</v>
      </c>
      <c r="B116" s="337">
        <f>(B115/B114)*(B113/B112)*(B111/B110)*(B109/B108)*B107</f>
        <v>900</v>
      </c>
      <c r="C116" s="434"/>
      <c r="D116" s="397" t="s">
        <v>82</v>
      </c>
      <c r="E116" s="435">
        <f>STDEV(E108:E113)/E115</f>
        <v>5.3956254569829012E-2</v>
      </c>
      <c r="F116" s="435">
        <f>STDEV(F108:F113)/F115</f>
        <v>5.395625456982988E-2</v>
      </c>
      <c r="I116" s="386"/>
    </row>
    <row r="117" spans="1:10" ht="27" customHeight="1" thickBot="1">
      <c r="A117" s="497" t="s">
        <v>76</v>
      </c>
      <c r="B117" s="498"/>
      <c r="C117" s="436"/>
      <c r="D117" s="437" t="s">
        <v>19</v>
      </c>
      <c r="E117" s="438">
        <f>COUNT(E108:E113)</f>
        <v>6</v>
      </c>
      <c r="F117" s="438">
        <f>COUNT(F108:F113)</f>
        <v>6</v>
      </c>
      <c r="I117" s="386"/>
      <c r="J117" s="417"/>
    </row>
    <row r="118" spans="1:10" ht="19.5" customHeight="1" thickBot="1">
      <c r="A118" s="499"/>
      <c r="B118" s="500"/>
      <c r="C118" s="386"/>
      <c r="D118" s="386"/>
      <c r="E118" s="386"/>
      <c r="F118" s="405"/>
      <c r="G118" s="386"/>
      <c r="H118" s="386"/>
      <c r="I118" s="386"/>
    </row>
    <row r="119" spans="1:10" ht="18.75">
      <c r="A119" s="447"/>
      <c r="B119" s="301"/>
      <c r="C119" s="386"/>
      <c r="D119" s="386"/>
      <c r="E119" s="386"/>
      <c r="F119" s="405"/>
      <c r="G119" s="386"/>
      <c r="H119" s="386"/>
      <c r="I119" s="386"/>
    </row>
    <row r="120" spans="1:10" ht="26.25" customHeight="1">
      <c r="A120" s="442" t="s">
        <v>104</v>
      </c>
      <c r="B120" s="397" t="s">
        <v>121</v>
      </c>
      <c r="C120" s="509" t="str">
        <f>B20</f>
        <v>ATAZANAVIR, RITONAVIR</v>
      </c>
      <c r="D120" s="509"/>
      <c r="E120" s="386" t="s">
        <v>122</v>
      </c>
      <c r="F120" s="386"/>
      <c r="G120" s="387">
        <f>F115</f>
        <v>0.99377910457875407</v>
      </c>
      <c r="H120" s="386"/>
      <c r="I120" s="386"/>
    </row>
    <row r="121" spans="1:10" ht="19.5" customHeight="1" thickBot="1">
      <c r="A121" s="466"/>
      <c r="B121" s="466"/>
      <c r="C121" s="440"/>
      <c r="D121" s="440"/>
      <c r="E121" s="440"/>
      <c r="F121" s="440"/>
      <c r="G121" s="440"/>
      <c r="H121" s="440"/>
    </row>
    <row r="122" spans="1:10" ht="18.75">
      <c r="B122" s="510" t="s">
        <v>24</v>
      </c>
      <c r="C122" s="510"/>
      <c r="E122" s="464" t="s">
        <v>25</v>
      </c>
      <c r="F122" s="441"/>
      <c r="G122" s="510" t="s">
        <v>26</v>
      </c>
      <c r="H122" s="510"/>
    </row>
    <row r="123" spans="1:10" ht="69.95" customHeight="1">
      <c r="A123" s="442" t="s">
        <v>27</v>
      </c>
      <c r="B123" s="444"/>
      <c r="C123" s="444"/>
      <c r="E123" s="444"/>
      <c r="F123" s="386"/>
      <c r="G123" s="444"/>
      <c r="H123" s="444"/>
    </row>
    <row r="124" spans="1:10" ht="69.95" customHeight="1">
      <c r="A124" s="442" t="s">
        <v>28</v>
      </c>
      <c r="B124" s="445"/>
      <c r="C124" s="445"/>
      <c r="E124" s="445"/>
      <c r="F124" s="386"/>
      <c r="G124" s="446"/>
      <c r="H124" s="446"/>
    </row>
    <row r="125" spans="1:10" ht="18.75">
      <c r="A125" s="405"/>
      <c r="B125" s="405"/>
      <c r="C125" s="405"/>
      <c r="D125" s="405"/>
      <c r="E125" s="405"/>
      <c r="F125" s="382"/>
      <c r="G125" s="405"/>
      <c r="H125" s="405"/>
      <c r="I125" s="386"/>
    </row>
    <row r="126" spans="1:10" ht="18.75">
      <c r="A126" s="405"/>
      <c r="B126" s="405"/>
      <c r="C126" s="405"/>
      <c r="D126" s="405"/>
      <c r="E126" s="405"/>
      <c r="F126" s="382"/>
      <c r="G126" s="405"/>
      <c r="H126" s="405"/>
      <c r="I126" s="386"/>
    </row>
    <row r="127" spans="1:10" ht="18.75">
      <c r="A127" s="405"/>
      <c r="B127" s="405"/>
      <c r="C127" s="405"/>
      <c r="D127" s="405"/>
      <c r="E127" s="405"/>
      <c r="F127" s="382"/>
      <c r="G127" s="405"/>
      <c r="H127" s="405"/>
      <c r="I127" s="386"/>
    </row>
    <row r="128" spans="1:10" ht="18.75">
      <c r="A128" s="405"/>
      <c r="B128" s="405"/>
      <c r="C128" s="405"/>
      <c r="D128" s="405"/>
      <c r="E128" s="405"/>
      <c r="F128" s="382"/>
      <c r="G128" s="405"/>
      <c r="H128" s="405"/>
      <c r="I128" s="386"/>
    </row>
    <row r="129" spans="1:9" ht="18.75">
      <c r="A129" s="405"/>
      <c r="B129" s="405"/>
      <c r="C129" s="405"/>
      <c r="D129" s="405"/>
      <c r="E129" s="405"/>
      <c r="F129" s="382"/>
      <c r="G129" s="405"/>
      <c r="H129" s="405"/>
      <c r="I129" s="386"/>
    </row>
    <row r="130" spans="1:9" ht="18.75">
      <c r="A130" s="405"/>
      <c r="B130" s="405"/>
      <c r="C130" s="405"/>
      <c r="D130" s="405"/>
      <c r="E130" s="405"/>
      <c r="F130" s="382"/>
      <c r="G130" s="405"/>
      <c r="H130" s="405"/>
      <c r="I130" s="386"/>
    </row>
    <row r="131" spans="1:9" ht="18.75">
      <c r="A131" s="405"/>
      <c r="B131" s="405"/>
      <c r="C131" s="405"/>
      <c r="D131" s="405"/>
      <c r="E131" s="405"/>
      <c r="F131" s="382"/>
      <c r="G131" s="405"/>
      <c r="H131" s="405"/>
      <c r="I131" s="386"/>
    </row>
    <row r="132" spans="1:9" ht="18.75">
      <c r="A132" s="405"/>
      <c r="B132" s="405"/>
      <c r="C132" s="405"/>
      <c r="D132" s="405"/>
      <c r="E132" s="405"/>
      <c r="F132" s="382"/>
      <c r="G132" s="405"/>
      <c r="H132" s="405"/>
      <c r="I132" s="386"/>
    </row>
    <row r="133" spans="1:9" ht="18.75">
      <c r="A133" s="405"/>
      <c r="B133" s="405"/>
      <c r="C133" s="405"/>
      <c r="D133" s="405"/>
      <c r="E133" s="405"/>
      <c r="F133" s="382"/>
      <c r="G133" s="405"/>
      <c r="H133" s="405"/>
      <c r="I133" s="386"/>
    </row>
    <row r="250" spans="1:1">
      <c r="A250" s="408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Uniformity</vt:lpstr>
      <vt:lpstr>SST - Assay</vt:lpstr>
      <vt:lpstr>SST - Dissolution</vt:lpstr>
      <vt:lpstr>Atazanavir</vt:lpstr>
      <vt:lpstr>Ritonavir - 90 min</vt:lpstr>
      <vt:lpstr>Ritonavir - 150 min </vt:lpstr>
      <vt:lpstr>Atazanavir!Print_Area</vt:lpstr>
      <vt:lpstr>'Ritonavir - 150 min '!Print_Area</vt:lpstr>
      <vt:lpstr>'Ritonavir - 90 min'!Print_Area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2016-08-18T05:23:43Z</cp:lastPrinted>
  <dcterms:created xsi:type="dcterms:W3CDTF">2005-07-05T10:19:27Z</dcterms:created>
  <dcterms:modified xsi:type="dcterms:W3CDTF">2016-08-18T05:40:16Z</dcterms:modified>
</cp:coreProperties>
</file>