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August\"/>
    </mc:Choice>
  </mc:AlternateContent>
  <bookViews>
    <workbookView xWindow="480" yWindow="495" windowWidth="20775" windowHeight="9405" activeTab="2"/>
  </bookViews>
  <sheets>
    <sheet name="Uniformity" sheetId="2" r:id="rId1"/>
    <sheet name="SST" sheetId="1" r:id="rId2"/>
    <sheet name="Efavirenz" sheetId="3" r:id="rId3"/>
  </sheets>
  <definedNames>
    <definedName name="_xlnm.Print_Area" localSheetId="2">Efavirenz!$A$1:$H$125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B7" i="1" l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C50" i="2" s="1"/>
  <c r="C45" i="2"/>
  <c r="D41" i="2"/>
  <c r="D37" i="2"/>
  <c r="D33" i="2"/>
  <c r="D29" i="2"/>
  <c r="D2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30" i="2" l="1"/>
  <c r="D34" i="2"/>
  <c r="D38" i="2"/>
  <c r="B49" i="2"/>
  <c r="D50" i="2"/>
  <c r="B57" i="3"/>
  <c r="B69" i="3" s="1"/>
  <c r="D27" i="2"/>
  <c r="D31" i="2"/>
  <c r="D35" i="2"/>
  <c r="D39" i="2"/>
  <c r="D43" i="2"/>
  <c r="C49" i="2"/>
  <c r="D26" i="2"/>
  <c r="D42" i="2"/>
  <c r="D24" i="2"/>
  <c r="D28" i="2"/>
  <c r="D32" i="2"/>
  <c r="D36" i="2"/>
  <c r="D40" i="2"/>
  <c r="D49" i="2"/>
  <c r="D101" i="3"/>
  <c r="D102" i="3" s="1"/>
  <c r="I92" i="3"/>
  <c r="F97" i="3"/>
  <c r="F98" i="3" s="1"/>
  <c r="I39" i="3"/>
  <c r="D49" i="3"/>
  <c r="F44" i="3"/>
  <c r="F45" i="3" s="1"/>
  <c r="D44" i="3"/>
  <c r="D45" i="3" s="1"/>
  <c r="D98" i="3"/>
  <c r="E38" i="3" l="1"/>
  <c r="E39" i="3"/>
  <c r="E41" i="3"/>
  <c r="E40" i="3"/>
  <c r="D46" i="3"/>
  <c r="G40" i="3"/>
  <c r="F46" i="3"/>
  <c r="G41" i="3"/>
  <c r="G38" i="3"/>
  <c r="G39" i="3"/>
  <c r="F99" i="3"/>
  <c r="G92" i="3"/>
  <c r="G94" i="3"/>
  <c r="G91" i="3"/>
  <c r="G93" i="3"/>
  <c r="E94" i="3"/>
  <c r="E91" i="3"/>
  <c r="E93" i="3"/>
  <c r="D99" i="3"/>
  <c r="E92" i="3"/>
  <c r="E42" i="3" l="1"/>
  <c r="G42" i="3"/>
  <c r="D50" i="3"/>
  <c r="D51" i="3" s="1"/>
  <c r="D52" i="3"/>
  <c r="D103" i="3"/>
  <c r="D105" i="3"/>
  <c r="E95" i="3"/>
  <c r="G95" i="3"/>
  <c r="G62" i="3" l="1"/>
  <c r="H62" i="3" s="1"/>
  <c r="G64" i="3"/>
  <c r="H64" i="3" s="1"/>
  <c r="G71" i="3"/>
  <c r="H71" i="3" s="1"/>
  <c r="G70" i="3"/>
  <c r="H70" i="3" s="1"/>
  <c r="G60" i="3"/>
  <c r="G61" i="3"/>
  <c r="H61" i="3" s="1"/>
  <c r="G69" i="3"/>
  <c r="H69" i="3" s="1"/>
  <c r="G63" i="3"/>
  <c r="H63" i="3" s="1"/>
  <c r="G66" i="3"/>
  <c r="H66" i="3" s="1"/>
  <c r="G67" i="3"/>
  <c r="H67" i="3" s="1"/>
  <c r="G65" i="3"/>
  <c r="H65" i="3" s="1"/>
  <c r="G68" i="3"/>
  <c r="H68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H60" i="3"/>
  <c r="G74" i="3"/>
  <c r="E117" i="3"/>
  <c r="F108" i="3"/>
  <c r="E115" i="3"/>
  <c r="E116" i="3" s="1"/>
  <c r="H72" i="3" l="1"/>
  <c r="G76" i="3" s="1"/>
  <c r="H74" i="3"/>
  <c r="F115" i="3"/>
  <c r="F117" i="3"/>
  <c r="H73" i="3" l="1"/>
  <c r="G120" i="3"/>
  <c r="F116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<sst xmlns="http://schemas.openxmlformats.org/spreadsheetml/2006/main" count="232" uniqueCount="129">
  <si>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</si>
  <si>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</si>
  <si>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</si>
  <si>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</si>
  <si>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</si>
  <si>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</si>
  <si>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</si>
  <si>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NDQB201607052</t>
  </si>
  <si>
    <t>Weight (mg):</t>
  </si>
  <si>
    <t>EFAVIRENZ</t>
  </si>
  <si>
    <t>Standard Conc (mg/mL):</t>
  </si>
  <si>
    <t>Each film-coated tablet contains Efavirenz 600mg.</t>
  </si>
  <si>
    <t>2016-07-28 12:06:12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</si>
  <si>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</si>
  <si>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</si>
  <si>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</si>
  <si>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</si>
  <si>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</si>
  <si>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</si>
  <si>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</si>
  <si>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</si>
  <si>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</si>
  <si>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</si>
  <si>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</si>
  <si>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</si>
  <si>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</si>
  <si>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</si>
  <si>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</si>
  <si>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</si>
  <si>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</si>
  <si>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</si>
  <si>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</si>
  <si>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</si>
  <si>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</si>
  <si>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</si>
  <si>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</si>
  <si>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</si>
  <si>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</si>
  <si>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</si>
  <si>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</si>
  <si>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</si>
  <si>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</si>
  <si>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</si>
  <si>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</si>
  <si>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</si>
  <si>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</si>
  <si>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</si>
  <si>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</si>
  <si>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</si>
  <si>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</si>
  <si>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</si>
  <si>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</si>
  <si>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</si>
  <si>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</si>
  <si>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</si>
  <si>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</si>
  <si>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</si>
  <si>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</si>
  <si>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</si>
  <si>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</si>
  <si>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</si>
  <si>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</si>
  <si>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</si>
  <si>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</si>
  <si>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</si>
  <si>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</si>
  <si>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</si>
  <si>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</si>
  <si>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</si>
  <si>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</si>
  <si>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</si>
  <si>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</si>
  <si>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</si>
  <si>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</si>
  <si>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</si>
  <si>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</si>
  <si>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</si>
  <si>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</si>
  <si>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</si>
  <si>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</si>
  <si>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</si>
  <si>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</si>
  <si>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</si>
  <si>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</si>
  <si>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</si>
  <si>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</si>
  <si>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</si>
  <si>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</si>
  <si>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</si>
  <si>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</si>
  <si>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</si>
  <si>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</si>
  <si>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</si>
  <si>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</si>
  <si>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</si>
  <si>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</si>
  <si>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</si>
  <si>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</si>
  <si>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</si>
  <si>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</si>
  <si>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</si>
  <si>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</si>
  <si>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</si>
  <si>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</si>
  <si>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</si>
  <si>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</si>
  <si>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</si>
  <si>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</si>
  <si>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</si>
  <si>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</si>
  <si>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</si>
  <si>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</si>
  <si>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</si>
  <si>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</si>
  <si>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</si>
  <si>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</si>
  <si>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</si>
  <si>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</si>
  <si>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</si>
  <si>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</si>
  <si>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</si>
  <si>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</si>
  <si>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</si>
  <si>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</si>
  <si>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</si>
  <si>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</si>
  <si>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E15-3</t>
  </si>
  <si>
    <t>Dr Sarah Mwangi</t>
  </si>
  <si>
    <t>8th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</si>
</sst>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2" xfId="1" applyFont="1" applyFill="1" applyBorder="1" applyAlignment="1" applyProtection="1">
      <alignment horizontal="center"/>
      <protection locked="0"/>
    </xf>
    <xf numFmtId="0" fontId="13" fillId="3" borderId="24" xfId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1" fontId="13" fillId="3" borderId="31" xfId="1" applyNumberFormat="1" applyFont="1" applyFill="1" applyBorder="1" applyAlignment="1" applyProtection="1">
      <alignment horizontal="center"/>
      <protection locked="0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171" fontId="13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0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89"/>
    </row>
    <row r="14" spans="1:7" ht="16.5" customHeight="1" x14ac:dyDescent="0.3">
      <c r="A14" s="289" t="s">
        <v>33</v>
      </c>
      <c r="B14" s="289"/>
      <c r="C14" s="59" t="s">
        <v>5</v>
      </c>
    </row>
    <row r="15" spans="1:7" ht="16.5" customHeight="1" x14ac:dyDescent="0.3">
      <c r="A15" s="289" t="s">
        <v>34</v>
      </c>
      <c r="B15" s="289"/>
      <c r="C15" s="59" t="s">
        <v>7</v>
      </c>
    </row>
    <row r="16" spans="1:7" ht="16.5" customHeight="1" x14ac:dyDescent="0.3">
      <c r="A16" s="289" t="s">
        <v>35</v>
      </c>
      <c r="B16" s="289"/>
      <c r="C16" s="59" t="s">
        <v>9</v>
      </c>
    </row>
    <row r="17" spans="1:5" ht="16.5" customHeight="1" x14ac:dyDescent="0.3">
      <c r="A17" s="289" t="s">
        <v>36</v>
      </c>
      <c r="B17" s="289"/>
      <c r="C17" s="59" t="s">
        <v>11</v>
      </c>
    </row>
    <row r="18" spans="1:5" ht="16.5" customHeight="1" x14ac:dyDescent="0.3">
      <c r="A18" s="289" t="s">
        <v>37</v>
      </c>
      <c r="B18" s="289"/>
      <c r="C18" s="96" t="s">
        <v>12</v>
      </c>
    </row>
    <row r="19" spans="1:5" ht="16.5" customHeight="1" x14ac:dyDescent="0.3">
      <c r="A19" s="289" t="s">
        <v>38</v>
      </c>
      <c r="B19" s="289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4" t="s">
        <v>1</v>
      </c>
      <c r="B21" s="284"/>
      <c r="C21" s="58" t="s">
        <v>39</v>
      </c>
      <c r="D21" s="65"/>
    </row>
    <row r="22" spans="1:5" ht="15.75" customHeight="1" x14ac:dyDescent="0.3">
      <c r="A22" s="288"/>
      <c r="B22" s="288"/>
      <c r="C22" s="56"/>
      <c r="D22" s="288"/>
      <c r="E22" s="288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1231.44</v>
      </c>
      <c r="D24" s="86">
        <f t="shared" ref="D24:D43" si="0">(C24-$C$46)/$C$46</f>
        <v>4.9400740093023593E-3</v>
      </c>
      <c r="E24" s="52"/>
    </row>
    <row r="25" spans="1:5" ht="15.75" customHeight="1" x14ac:dyDescent="0.3">
      <c r="C25" s="94">
        <v>1223.46</v>
      </c>
      <c r="D25" s="87">
        <f t="shared" si="0"/>
        <v>-1.5721570296392466E-3</v>
      </c>
      <c r="E25" s="52"/>
    </row>
    <row r="26" spans="1:5" ht="15.75" customHeight="1" x14ac:dyDescent="0.3">
      <c r="C26" s="94">
        <v>1231.05</v>
      </c>
      <c r="D26" s="87">
        <f t="shared" si="0"/>
        <v>4.6218070788276886E-3</v>
      </c>
      <c r="E26" s="52"/>
    </row>
    <row r="27" spans="1:5" ht="15.75" customHeight="1" x14ac:dyDescent="0.3">
      <c r="C27" s="94">
        <v>1210.27</v>
      </c>
      <c r="D27" s="87">
        <f t="shared" si="0"/>
        <v>-1.2336107832100391E-2</v>
      </c>
      <c r="E27" s="52"/>
    </row>
    <row r="28" spans="1:5" ht="15.75" customHeight="1" x14ac:dyDescent="0.3">
      <c r="C28" s="94">
        <v>1221.27</v>
      </c>
      <c r="D28" s="87">
        <f t="shared" si="0"/>
        <v>-3.3593482546119833E-3</v>
      </c>
      <c r="E28" s="52"/>
    </row>
    <row r="29" spans="1:5" ht="15.75" customHeight="1" x14ac:dyDescent="0.3">
      <c r="C29" s="94">
        <v>1222.58</v>
      </c>
      <c r="D29" s="87">
        <f t="shared" si="0"/>
        <v>-2.2902977958384084E-3</v>
      </c>
      <c r="E29" s="52"/>
    </row>
    <row r="30" spans="1:5" ht="15.75" customHeight="1" x14ac:dyDescent="0.3">
      <c r="C30" s="94">
        <v>1221.08</v>
      </c>
      <c r="D30" s="87">
        <f t="shared" si="0"/>
        <v>-3.5144013745868276E-3</v>
      </c>
      <c r="E30" s="52"/>
    </row>
    <row r="31" spans="1:5" ht="15.75" customHeight="1" x14ac:dyDescent="0.3">
      <c r="C31" s="94">
        <v>1228.79</v>
      </c>
      <c r="D31" s="87">
        <f t="shared" si="0"/>
        <v>2.7774910201800772E-3</v>
      </c>
      <c r="E31" s="52"/>
    </row>
    <row r="32" spans="1:5" ht="15.75" customHeight="1" x14ac:dyDescent="0.3">
      <c r="C32" s="94">
        <v>1232.55</v>
      </c>
      <c r="D32" s="87">
        <f t="shared" si="0"/>
        <v>5.8459106575761074E-3</v>
      </c>
      <c r="E32" s="52"/>
    </row>
    <row r="33" spans="1:7" ht="15.75" customHeight="1" x14ac:dyDescent="0.3">
      <c r="C33" s="94">
        <v>1232.6099999999999</v>
      </c>
      <c r="D33" s="87">
        <f t="shared" si="0"/>
        <v>5.8948748007259999E-3</v>
      </c>
      <c r="E33" s="52"/>
    </row>
    <row r="34" spans="1:7" ht="15.75" customHeight="1" x14ac:dyDescent="0.3">
      <c r="C34" s="94">
        <v>1212.08</v>
      </c>
      <c r="D34" s="87">
        <f t="shared" si="0"/>
        <v>-1.0859022847077343E-2</v>
      </c>
      <c r="E34" s="52"/>
    </row>
    <row r="35" spans="1:7" ht="15.75" customHeight="1" x14ac:dyDescent="0.3">
      <c r="C35" s="94">
        <v>1223.81</v>
      </c>
      <c r="D35" s="87">
        <f t="shared" si="0"/>
        <v>-1.2865328612646897E-3</v>
      </c>
      <c r="E35" s="52"/>
    </row>
    <row r="36" spans="1:7" ht="15.75" customHeight="1" x14ac:dyDescent="0.3">
      <c r="C36" s="94">
        <v>1225.1300000000001</v>
      </c>
      <c r="D36" s="87">
        <f t="shared" si="0"/>
        <v>-2.0932171196594705E-4</v>
      </c>
      <c r="E36" s="52"/>
    </row>
    <row r="37" spans="1:7" ht="15.75" customHeight="1" x14ac:dyDescent="0.3">
      <c r="C37" s="94">
        <v>1234.57</v>
      </c>
      <c r="D37" s="87">
        <f t="shared" si="0"/>
        <v>7.4943701436239645E-3</v>
      </c>
      <c r="E37" s="52"/>
    </row>
    <row r="38" spans="1:7" ht="15.75" customHeight="1" x14ac:dyDescent="0.3">
      <c r="C38" s="94">
        <v>1230.33</v>
      </c>
      <c r="D38" s="87">
        <f t="shared" si="0"/>
        <v>4.0342373610284246E-3</v>
      </c>
      <c r="E38" s="52"/>
    </row>
    <row r="39" spans="1:7" ht="15.75" customHeight="1" x14ac:dyDescent="0.3">
      <c r="C39" s="94">
        <v>1228.9000000000001</v>
      </c>
      <c r="D39" s="87">
        <f t="shared" si="0"/>
        <v>2.8672586159550653E-3</v>
      </c>
      <c r="E39" s="52"/>
    </row>
    <row r="40" spans="1:7" ht="15.75" customHeight="1" x14ac:dyDescent="0.3">
      <c r="C40" s="94">
        <v>1233.31</v>
      </c>
      <c r="D40" s="87">
        <f t="shared" si="0"/>
        <v>6.4661231374752992E-3</v>
      </c>
      <c r="E40" s="52"/>
    </row>
    <row r="41" spans="1:7" ht="15.75" customHeight="1" x14ac:dyDescent="0.3">
      <c r="C41" s="94">
        <v>1206.5999999999999</v>
      </c>
      <c r="D41" s="87">
        <f t="shared" si="0"/>
        <v>-1.5331081254771584E-2</v>
      </c>
      <c r="E41" s="52"/>
    </row>
    <row r="42" spans="1:7" ht="15.75" customHeight="1" x14ac:dyDescent="0.3">
      <c r="C42" s="94">
        <v>1233.7</v>
      </c>
      <c r="D42" s="87">
        <f t="shared" si="0"/>
        <v>6.7843900679499698E-3</v>
      </c>
      <c r="E42" s="52"/>
    </row>
    <row r="43" spans="1:7" ht="16.5" customHeight="1" x14ac:dyDescent="0.3">
      <c r="C43" s="95">
        <v>1224.2</v>
      </c>
      <c r="D43" s="88">
        <f t="shared" si="0"/>
        <v>-9.6826593079001901E-4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24507.73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1225.3865000000001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2">
        <f>C46</f>
        <v>1225.3865000000001</v>
      </c>
      <c r="C49" s="92">
        <f>-IF(C46&lt;=80,10%,IF(C46&lt;250,7.5%,5%))</f>
        <v>-0.05</v>
      </c>
      <c r="D49" s="80">
        <f>IF(C46&lt;=80,C46*0.9,IF(C46&lt;250,C46*0.925,C46*0.95))</f>
        <v>1164.1171750000001</v>
      </c>
    </row>
    <row r="50" spans="1:6" ht="17.25" customHeight="1" x14ac:dyDescent="0.3">
      <c r="B50" s="283"/>
      <c r="C50" s="93">
        <f>IF(C46&lt;=80, 10%, IF(C46&lt;250, 7.5%, 5%))</f>
        <v>0.05</v>
      </c>
      <c r="D50" s="80">
        <f>IF(C46&lt;=80, C46*1.1, IF(C46&lt;250, C46*1.075, C46*1.05))</f>
        <v>1286.655825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E46" sqref="E4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90" t="s">
        <v>0</v>
      </c>
      <c r="B1" s="290"/>
      <c r="C1" s="290"/>
      <c r="D1" s="290"/>
      <c r="E1" s="290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/>
      <c r="D3" s="8"/>
      <c r="E3" s="9"/>
    </row>
    <row r="4" spans="1:5" ht="16.5" customHeight="1" x14ac:dyDescent="0.3">
      <c r="A4" s="10" t="s">
        <v>4</v>
      </c>
      <c r="B4" s="7" t="s">
        <v>5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27.39</v>
      </c>
      <c r="C6" s="9"/>
      <c r="D6" s="9"/>
      <c r="E6" s="9"/>
    </row>
    <row r="7" spans="1:5" ht="16.5" customHeight="1" x14ac:dyDescent="0.3">
      <c r="A7" s="6" t="s">
        <v>10</v>
      </c>
      <c r="B7" s="12">
        <f>B6/100</f>
        <v>0.27390000000000003</v>
      </c>
      <c r="C7" s="9"/>
      <c r="D7" s="9"/>
      <c r="E7" s="9"/>
    </row>
    <row r="8" spans="1:5" ht="15.75" customHeight="1" x14ac:dyDescent="0.25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266247049</v>
      </c>
      <c r="C10" s="17">
        <v>3341.2</v>
      </c>
      <c r="D10" s="18">
        <v>1.6</v>
      </c>
      <c r="E10" s="19">
        <v>8.3000000000000007</v>
      </c>
    </row>
    <row r="11" spans="1:5" ht="16.5" customHeight="1" x14ac:dyDescent="0.3">
      <c r="A11" s="16">
        <v>2</v>
      </c>
      <c r="B11" s="17">
        <v>266810920</v>
      </c>
      <c r="C11" s="17">
        <v>3356.3</v>
      </c>
      <c r="D11" s="18">
        <v>1.6</v>
      </c>
      <c r="E11" s="18">
        <v>8.1999999999999993</v>
      </c>
    </row>
    <row r="12" spans="1:5" ht="16.5" customHeight="1" x14ac:dyDescent="0.3">
      <c r="A12" s="16">
        <v>3</v>
      </c>
      <c r="B12" s="17">
        <v>266844908</v>
      </c>
      <c r="C12" s="17">
        <v>3344.2</v>
      </c>
      <c r="D12" s="18">
        <v>1.6</v>
      </c>
      <c r="E12" s="18">
        <v>8.1999999999999993</v>
      </c>
    </row>
    <row r="13" spans="1:5" ht="16.5" customHeight="1" x14ac:dyDescent="0.3">
      <c r="A13" s="16">
        <v>4</v>
      </c>
      <c r="B13" s="17">
        <v>267686849</v>
      </c>
      <c r="C13" s="17">
        <v>3338.9</v>
      </c>
      <c r="D13" s="18">
        <v>1.6</v>
      </c>
      <c r="E13" s="18">
        <v>8.1999999999999993</v>
      </c>
    </row>
    <row r="14" spans="1:5" ht="16.5" customHeight="1" x14ac:dyDescent="0.3">
      <c r="A14" s="16">
        <v>5</v>
      </c>
      <c r="B14" s="17">
        <v>267855607</v>
      </c>
      <c r="C14" s="17">
        <v>3314.7</v>
      </c>
      <c r="D14" s="18">
        <v>1.6</v>
      </c>
      <c r="E14" s="18">
        <v>8.1999999999999993</v>
      </c>
    </row>
    <row r="15" spans="1:5" ht="16.5" customHeight="1" x14ac:dyDescent="0.3">
      <c r="A15" s="16">
        <v>6</v>
      </c>
      <c r="B15" s="20">
        <v>268523709</v>
      </c>
      <c r="C15" s="20">
        <v>3306.9</v>
      </c>
      <c r="D15" s="21">
        <v>1.6</v>
      </c>
      <c r="E15" s="21">
        <v>8.1</v>
      </c>
    </row>
    <row r="16" spans="1:5" ht="16.5" customHeight="1" x14ac:dyDescent="0.3">
      <c r="A16" s="22" t="s">
        <v>18</v>
      </c>
      <c r="B16" s="23">
        <f>AVERAGE(B10:B15)</f>
        <v>267328173.66666666</v>
      </c>
      <c r="C16" s="24">
        <f>AVERAGE(C10:C15)</f>
        <v>3333.7000000000003</v>
      </c>
      <c r="D16" s="25">
        <f>AVERAGE(D10:D15)</f>
        <v>1.5999999999999999</v>
      </c>
      <c r="E16" s="25">
        <f>AVERAGE(E10:E15)</f>
        <v>8.1999999999999993</v>
      </c>
    </row>
    <row r="17" spans="1:6" ht="16.5" customHeight="1" x14ac:dyDescent="0.3">
      <c r="A17" s="26" t="s">
        <v>19</v>
      </c>
      <c r="B17" s="27">
        <f>(STDEV(B10:B15)/B16)</f>
        <v>3.1324224349878662E-3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5" t="s">
        <v>25</v>
      </c>
    </row>
    <row r="25" spans="1:6" ht="16.5" customHeight="1" x14ac:dyDescent="0.3">
      <c r="A25" s="10" t="s">
        <v>4</v>
      </c>
      <c r="B25" s="7"/>
      <c r="C25" s="9"/>
      <c r="D25" s="9"/>
      <c r="E25" s="9"/>
    </row>
    <row r="26" spans="1:6" ht="16.5" customHeight="1" x14ac:dyDescent="0.3">
      <c r="A26" s="10" t="s">
        <v>6</v>
      </c>
      <c r="B26" s="11"/>
      <c r="C26" s="9"/>
      <c r="D26" s="9"/>
      <c r="E26" s="9"/>
    </row>
    <row r="27" spans="1:6" ht="16.5" customHeight="1" x14ac:dyDescent="0.3">
      <c r="A27" s="6" t="s">
        <v>8</v>
      </c>
      <c r="B27" s="11"/>
      <c r="C27" s="9"/>
      <c r="D27" s="9"/>
      <c r="E27" s="9"/>
    </row>
    <row r="28" spans="1:6" ht="16.5" customHeight="1" x14ac:dyDescent="0.3">
      <c r="A28" s="6" t="s">
        <v>10</v>
      </c>
      <c r="B28" s="12"/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/>
      <c r="C31" s="17"/>
      <c r="D31" s="18"/>
      <c r="E31" s="19"/>
    </row>
    <row r="32" spans="1:6" ht="16.5" customHeight="1" x14ac:dyDescent="0.3">
      <c r="A32" s="16">
        <v>2</v>
      </c>
      <c r="B32" s="17"/>
      <c r="C32" s="17"/>
      <c r="D32" s="18"/>
      <c r="E32" s="18"/>
    </row>
    <row r="33" spans="1:7" ht="16.5" customHeight="1" x14ac:dyDescent="0.3">
      <c r="A33" s="16">
        <v>3</v>
      </c>
      <c r="B33" s="17"/>
      <c r="C33" s="17"/>
      <c r="D33" s="18"/>
      <c r="E33" s="18"/>
    </row>
    <row r="34" spans="1:7" ht="16.5" customHeight="1" x14ac:dyDescent="0.3">
      <c r="A34" s="16">
        <v>4</v>
      </c>
      <c r="B34" s="17"/>
      <c r="C34" s="17"/>
      <c r="D34" s="18"/>
      <c r="E34" s="18"/>
    </row>
    <row r="35" spans="1:7" ht="16.5" customHeight="1" x14ac:dyDescent="0.3">
      <c r="A35" s="16">
        <v>5</v>
      </c>
      <c r="B35" s="17"/>
      <c r="C35" s="17"/>
      <c r="D35" s="18"/>
      <c r="E35" s="18"/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18</v>
      </c>
      <c r="B37" s="23" t="e">
        <f>AVERAGE(B31:B36)</f>
        <v>#DIV/0!</v>
      </c>
      <c r="C37" s="24" t="e">
        <f>AVERAGE(C31:C36)</f>
        <v>#DIV/0!</v>
      </c>
      <c r="D37" s="25" t="e">
        <f>AVERAGE(D31:D36)</f>
        <v>#DIV/0!</v>
      </c>
      <c r="E37" s="25" t="e">
        <f>AVERAGE(E31:E36)</f>
        <v>#DIV/0!</v>
      </c>
    </row>
    <row r="38" spans="1:7" ht="16.5" customHeight="1" x14ac:dyDescent="0.3">
      <c r="A38" s="26" t="s">
        <v>19</v>
      </c>
      <c r="B38" s="27" t="e">
        <f>(STDEV(B31:B36)/B37)</f>
        <v>#DIV/0!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0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291" t="s">
        <v>26</v>
      </c>
      <c r="C45" s="291"/>
      <c r="E45" s="44" t="s">
        <v>27</v>
      </c>
      <c r="F45" s="45"/>
      <c r="G45" s="44" t="s">
        <v>28</v>
      </c>
    </row>
    <row r="46" spans="1:7" ht="15" customHeight="1" x14ac:dyDescent="0.3">
      <c r="A46" s="46" t="s">
        <v>29</v>
      </c>
      <c r="B46" s="47"/>
      <c r="C46" s="48" t="s">
        <v>127</v>
      </c>
      <c r="E46" s="48" t="s">
        <v>128</v>
      </c>
      <c r="F46" s="2"/>
      <c r="G46" s="48"/>
    </row>
    <row r="47" spans="1:7" ht="15" customHeight="1" x14ac:dyDescent="0.3">
      <c r="A47" s="46" t="s">
        <v>30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9" zoomScale="50" zoomScaleNormal="60" zoomScaleSheetLayoutView="50" zoomScalePageLayoutView="55" workbookViewId="0">
      <selection activeCell="E97" sqref="E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7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99" t="s">
        <v>33</v>
      </c>
      <c r="B18" s="325" t="s">
        <v>5</v>
      </c>
      <c r="C18" s="325"/>
      <c r="D18" s="264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7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330" t="s">
        <v>9</v>
      </c>
      <c r="C20" s="330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103"/>
    </row>
    <row r="22" spans="1:14" ht="26.25" customHeight="1" x14ac:dyDescent="0.4">
      <c r="A22" s="99" t="s">
        <v>37</v>
      </c>
      <c r="B22" s="104">
        <v>42584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42590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5" t="s">
        <v>125</v>
      </c>
      <c r="C26" s="325"/>
    </row>
    <row r="27" spans="1:14" ht="26.25" customHeight="1" x14ac:dyDescent="0.4">
      <c r="A27" s="108" t="s">
        <v>48</v>
      </c>
      <c r="B27" s="323" t="s">
        <v>126</v>
      </c>
      <c r="C27" s="323"/>
    </row>
    <row r="28" spans="1:14" ht="27" customHeight="1" x14ac:dyDescent="0.4">
      <c r="A28" s="108" t="s">
        <v>6</v>
      </c>
      <c r="B28" s="109">
        <v>99.3</v>
      </c>
    </row>
    <row r="29" spans="1:14" s="13" customFormat="1" ht="27" customHeight="1" x14ac:dyDescent="0.4">
      <c r="A29" s="108" t="s">
        <v>49</v>
      </c>
      <c r="B29" s="110">
        <v>0</v>
      </c>
      <c r="C29" s="300" t="s">
        <v>50</v>
      </c>
      <c r="D29" s="301"/>
      <c r="E29" s="301"/>
      <c r="F29" s="301"/>
      <c r="G29" s="302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1</v>
      </c>
      <c r="C31" s="303" t="s">
        <v>53</v>
      </c>
      <c r="D31" s="304"/>
      <c r="E31" s="304"/>
      <c r="F31" s="304"/>
      <c r="G31" s="304"/>
      <c r="H31" s="305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1</v>
      </c>
      <c r="C32" s="303" t="s">
        <v>55</v>
      </c>
      <c r="D32" s="304"/>
      <c r="E32" s="304"/>
      <c r="F32" s="304"/>
      <c r="G32" s="304"/>
      <c r="H32" s="305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100</v>
      </c>
      <c r="C36" s="98"/>
      <c r="D36" s="306" t="s">
        <v>59</v>
      </c>
      <c r="E36" s="324"/>
      <c r="F36" s="306" t="s">
        <v>60</v>
      </c>
      <c r="G36" s="307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1</v>
      </c>
      <c r="C38" s="130">
        <v>1</v>
      </c>
      <c r="D38" s="131">
        <v>237423255</v>
      </c>
      <c r="E38" s="132">
        <f>IF(ISBLANK(D38),"-",$D$48/$D$45*D38)</f>
        <v>218233783.80316103</v>
      </c>
      <c r="F38" s="131">
        <v>264484309</v>
      </c>
      <c r="G38" s="133">
        <f>IF(ISBLANK(F38),"-",$D$48/$F$45*F38)</f>
        <v>221587978.57883722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136">
        <v>237368646</v>
      </c>
      <c r="E39" s="137">
        <f>IF(ISBLANK(D39),"-",$D$48/$D$45*D39)</f>
        <v>218183588.51500484</v>
      </c>
      <c r="F39" s="136">
        <v>264591398</v>
      </c>
      <c r="G39" s="138">
        <f>IF(ISBLANK(F39),"-",$D$48/$F$45*F39)</f>
        <v>221677698.96764874</v>
      </c>
      <c r="I39" s="308">
        <f>ABS((F43/D43*D42)-F42)/D42</f>
        <v>1.5602199983456798E-2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238479643</v>
      </c>
      <c r="E40" s="137">
        <f>IF(ISBLANK(D40),"-",$D$48/$D$45*D40)</f>
        <v>219204790.41497862</v>
      </c>
      <c r="F40" s="136">
        <v>264594333</v>
      </c>
      <c r="G40" s="138">
        <f>IF(ISBLANK(F40),"-",$D$48/$F$45*F40)</f>
        <v>221680157.94421181</v>
      </c>
      <c r="I40" s="308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237757181.33333334</v>
      </c>
      <c r="E42" s="147">
        <f>AVERAGE(E38:E41)</f>
        <v>218540720.91104817</v>
      </c>
      <c r="F42" s="146">
        <f>AVERAGE(F38:F41)</f>
        <v>264556680</v>
      </c>
      <c r="G42" s="148">
        <f>AVERAGE(G38:G41)</f>
        <v>221648611.83023259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27.39</v>
      </c>
      <c r="E43" s="139"/>
      <c r="F43" s="151">
        <v>30.05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27.39</v>
      </c>
      <c r="E44" s="154"/>
      <c r="F44" s="153">
        <f>F43*$B$34</f>
        <v>30.05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27.198269999999997</v>
      </c>
      <c r="E45" s="157"/>
      <c r="F45" s="156">
        <f>F44*$B$30/100</f>
        <v>29.839650000000002</v>
      </c>
      <c r="H45" s="149"/>
    </row>
    <row r="46" spans="1:14" ht="19.5" customHeight="1" x14ac:dyDescent="0.3">
      <c r="A46" s="294" t="s">
        <v>78</v>
      </c>
      <c r="B46" s="295"/>
      <c r="C46" s="152" t="s">
        <v>79</v>
      </c>
      <c r="D46" s="158">
        <f>D45/$B$45</f>
        <v>0.27198269999999997</v>
      </c>
      <c r="E46" s="159"/>
      <c r="F46" s="160">
        <f>F45/$B$45</f>
        <v>0.29839650000000001</v>
      </c>
      <c r="H46" s="149"/>
    </row>
    <row r="47" spans="1:14" ht="27" customHeight="1" x14ac:dyDescent="0.4">
      <c r="A47" s="296"/>
      <c r="B47" s="297"/>
      <c r="C47" s="161" t="s">
        <v>80</v>
      </c>
      <c r="D47" s="162">
        <v>0.25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220094666.37064037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7.9105806525015809E-3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film-coated tablet contains Efavirenz 600mg.</v>
      </c>
    </row>
    <row r="56" spans="1:12" ht="26.25" customHeight="1" x14ac:dyDescent="0.4">
      <c r="A56" s="176" t="s">
        <v>87</v>
      </c>
      <c r="B56" s="177">
        <v>600</v>
      </c>
      <c r="C56" s="98" t="str">
        <f>B20</f>
        <v>EFAVIRENZ</v>
      </c>
      <c r="H56" s="178"/>
    </row>
    <row r="57" spans="1:12" ht="18.75" x14ac:dyDescent="0.3">
      <c r="A57" s="175" t="s">
        <v>88</v>
      </c>
      <c r="B57" s="265">
        <f>Uniformity!C46</f>
        <v>1225.3865000000001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250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3</v>
      </c>
      <c r="C60" s="311" t="s">
        <v>94</v>
      </c>
      <c r="D60" s="314">
        <v>1230.99</v>
      </c>
      <c r="E60" s="181">
        <v>1</v>
      </c>
      <c r="F60" s="182">
        <v>255130773</v>
      </c>
      <c r="G60" s="266">
        <f>IF(ISBLANK(F60),"-",(F60/$D$50*$D$47*$B$68)*($B$57/$D$60))</f>
        <v>600.99473085551836</v>
      </c>
      <c r="H60" s="183">
        <f t="shared" ref="H60:H71" si="0">IF(ISBLANK(F60),"-",G60/$B$56)</f>
        <v>1.0016578847591973</v>
      </c>
      <c r="L60" s="111"/>
    </row>
    <row r="61" spans="1:12" s="13" customFormat="1" ht="26.25" customHeight="1" x14ac:dyDescent="0.4">
      <c r="A61" s="123" t="s">
        <v>95</v>
      </c>
      <c r="B61" s="124">
        <v>25</v>
      </c>
      <c r="C61" s="312"/>
      <c r="D61" s="315"/>
      <c r="E61" s="184">
        <v>2</v>
      </c>
      <c r="F61" s="136">
        <v>254289059</v>
      </c>
      <c r="G61" s="267">
        <f>IF(ISBLANK(F61),"-",(F61/$D$50*$D$47*$B$68)*($B$57/$D$60))</f>
        <v>599.01196071399841</v>
      </c>
      <c r="H61" s="185">
        <f t="shared" si="0"/>
        <v>0.99835326785666401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312"/>
      <c r="D62" s="315"/>
      <c r="E62" s="184">
        <v>3</v>
      </c>
      <c r="F62" s="186">
        <v>254265063</v>
      </c>
      <c r="G62" s="267">
        <f>IF(ISBLANK(F62),"-",(F62/$D$50*$D$47*$B$68)*($B$57/$D$60))</f>
        <v>598.95543491982608</v>
      </c>
      <c r="H62" s="185">
        <f t="shared" si="0"/>
        <v>0.99825905819971017</v>
      </c>
      <c r="L62" s="111"/>
    </row>
    <row r="63" spans="1:12" ht="27" customHeight="1" x14ac:dyDescent="0.4">
      <c r="A63" s="123" t="s">
        <v>97</v>
      </c>
      <c r="B63" s="124">
        <v>1</v>
      </c>
      <c r="C63" s="322"/>
      <c r="D63" s="316"/>
      <c r="E63" s="187">
        <v>4</v>
      </c>
      <c r="F63" s="188"/>
      <c r="G63" s="267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311" t="s">
        <v>99</v>
      </c>
      <c r="D64" s="314">
        <v>1231.1300000000001</v>
      </c>
      <c r="E64" s="181">
        <v>1</v>
      </c>
      <c r="F64" s="182">
        <v>253236606</v>
      </c>
      <c r="G64" s="268">
        <f>IF(ISBLANK(F64),"-",(F64/$D$50*$D$47*$B$68)*($B$57/$D$64))</f>
        <v>596.46493089487478</v>
      </c>
      <c r="H64" s="189">
        <f t="shared" si="0"/>
        <v>0.99410821815812467</v>
      </c>
    </row>
    <row r="65" spans="1:8" ht="26.25" customHeight="1" x14ac:dyDescent="0.4">
      <c r="A65" s="123" t="s">
        <v>100</v>
      </c>
      <c r="B65" s="124">
        <v>1</v>
      </c>
      <c r="C65" s="312"/>
      <c r="D65" s="315"/>
      <c r="E65" s="184">
        <v>2</v>
      </c>
      <c r="F65" s="136">
        <v>253373996</v>
      </c>
      <c r="G65" s="269">
        <f>IF(ISBLANK(F65),"-",(F65/$D$50*$D$47*$B$68)*($B$57/$D$64))</f>
        <v>596.78853465086434</v>
      </c>
      <c r="H65" s="190">
        <f t="shared" si="0"/>
        <v>0.99464755775144054</v>
      </c>
    </row>
    <row r="66" spans="1:8" ht="26.25" customHeight="1" x14ac:dyDescent="0.4">
      <c r="A66" s="123" t="s">
        <v>101</v>
      </c>
      <c r="B66" s="124">
        <v>1</v>
      </c>
      <c r="C66" s="312"/>
      <c r="D66" s="315"/>
      <c r="E66" s="184">
        <v>3</v>
      </c>
      <c r="F66" s="136">
        <v>253425292</v>
      </c>
      <c r="G66" s="269">
        <f>IF(ISBLANK(F66),"-",(F66/$D$50*$D$47*$B$68)*($B$57/$D$64))</f>
        <v>596.90935551313396</v>
      </c>
      <c r="H66" s="190">
        <f t="shared" si="0"/>
        <v>0.99484892585522322</v>
      </c>
    </row>
    <row r="67" spans="1:8" ht="27" customHeight="1" x14ac:dyDescent="0.4">
      <c r="A67" s="123" t="s">
        <v>102</v>
      </c>
      <c r="B67" s="124">
        <v>1</v>
      </c>
      <c r="C67" s="322"/>
      <c r="D67" s="316"/>
      <c r="E67" s="187">
        <v>4</v>
      </c>
      <c r="F67" s="188"/>
      <c r="G67" s="27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2083.3333333333335</v>
      </c>
      <c r="C68" s="311" t="s">
        <v>104</v>
      </c>
      <c r="D68" s="314">
        <v>1224.0899999999999</v>
      </c>
      <c r="E68" s="181">
        <v>1</v>
      </c>
      <c r="F68" s="182">
        <v>254010115</v>
      </c>
      <c r="G68" s="268">
        <f>IF(ISBLANK(F68),"-",(F68/$D$50*$D$47*$B$68)*($B$57/$D$68))</f>
        <v>601.7277016611597</v>
      </c>
      <c r="H68" s="185">
        <f t="shared" si="0"/>
        <v>1.0028795027685995</v>
      </c>
    </row>
    <row r="69" spans="1:8" ht="27" customHeight="1" x14ac:dyDescent="0.4">
      <c r="A69" s="171" t="s">
        <v>105</v>
      </c>
      <c r="B69" s="193">
        <f>(D47*B68)/B56*B57</f>
        <v>1063.7035590277778</v>
      </c>
      <c r="C69" s="312"/>
      <c r="D69" s="315"/>
      <c r="E69" s="184">
        <v>2</v>
      </c>
      <c r="F69" s="136">
        <v>254031052</v>
      </c>
      <c r="G69" s="269">
        <f>IF(ISBLANK(F69),"-",(F69/$D$50*$D$47*$B$68)*($B$57/$D$68))</f>
        <v>601.77729957929648</v>
      </c>
      <c r="H69" s="185">
        <f t="shared" si="0"/>
        <v>1.0029621659654941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6">
        <v>254232385</v>
      </c>
      <c r="G70" s="269">
        <f>IF(ISBLANK(F70),"-",(F70/$D$50*$D$47*$B$68)*($B$57/$D$68))</f>
        <v>602.25423981200538</v>
      </c>
      <c r="H70" s="185">
        <f t="shared" si="0"/>
        <v>1.0037570663533424</v>
      </c>
    </row>
    <row r="71" spans="1:8" ht="27" customHeight="1" x14ac:dyDescent="0.4">
      <c r="A71" s="319"/>
      <c r="B71" s="320"/>
      <c r="C71" s="313"/>
      <c r="D71" s="316"/>
      <c r="E71" s="187">
        <v>4</v>
      </c>
      <c r="F71" s="188"/>
      <c r="G71" s="27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5">
        <f>AVERAGE(G60:G71)</f>
        <v>599.43157651118645</v>
      </c>
      <c r="H72" s="198">
        <f>AVERAGE(H60:H71)</f>
        <v>0.99905262751864377</v>
      </c>
    </row>
    <row r="73" spans="1:8" ht="26.25" customHeight="1" x14ac:dyDescent="0.4">
      <c r="C73" s="195"/>
      <c r="D73" s="195"/>
      <c r="E73" s="195"/>
      <c r="F73" s="199" t="s">
        <v>84</v>
      </c>
      <c r="G73" s="271">
        <f>STDEV(G60:G71)/G72</f>
        <v>3.9006551264399985E-3</v>
      </c>
      <c r="H73" s="271">
        <f>STDEV(H60:H71)/H72</f>
        <v>3.9006551264400171E-3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298" t="str">
        <f>B20</f>
        <v>EFAVIRENZ</v>
      </c>
      <c r="D76" s="298"/>
      <c r="E76" s="204" t="s">
        <v>108</v>
      </c>
      <c r="F76" s="204"/>
      <c r="G76" s="205">
        <f>H72</f>
        <v>0.99905262751864377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1" t="str">
        <f>B26</f>
        <v>Efavirenz</v>
      </c>
      <c r="C79" s="321"/>
    </row>
    <row r="80" spans="1:8" ht="26.25" customHeight="1" x14ac:dyDescent="0.4">
      <c r="A80" s="108" t="s">
        <v>48</v>
      </c>
      <c r="B80" s="321" t="str">
        <f>B27</f>
        <v>E15-3</v>
      </c>
      <c r="C80" s="321"/>
    </row>
    <row r="81" spans="1:12" ht="27" customHeight="1" x14ac:dyDescent="0.4">
      <c r="A81" s="108" t="s">
        <v>6</v>
      </c>
      <c r="B81" s="207">
        <f>B28</f>
        <v>99.3</v>
      </c>
    </row>
    <row r="82" spans="1:12" s="13" customFormat="1" ht="27" customHeight="1" x14ac:dyDescent="0.4">
      <c r="A82" s="108" t="s">
        <v>49</v>
      </c>
      <c r="B82" s="110">
        <v>0</v>
      </c>
      <c r="C82" s="300" t="s">
        <v>50</v>
      </c>
      <c r="D82" s="301"/>
      <c r="E82" s="301"/>
      <c r="F82" s="301"/>
      <c r="G82" s="302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1</v>
      </c>
      <c r="C84" s="303" t="s">
        <v>111</v>
      </c>
      <c r="D84" s="304"/>
      <c r="E84" s="304"/>
      <c r="F84" s="304"/>
      <c r="G84" s="304"/>
      <c r="H84" s="305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1</v>
      </c>
      <c r="C85" s="303" t="s">
        <v>112</v>
      </c>
      <c r="D85" s="304"/>
      <c r="E85" s="304"/>
      <c r="F85" s="304"/>
      <c r="G85" s="304"/>
      <c r="H85" s="305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280">
        <v>100</v>
      </c>
      <c r="D89" s="208" t="s">
        <v>59</v>
      </c>
      <c r="E89" s="209"/>
      <c r="F89" s="306" t="s">
        <v>60</v>
      </c>
      <c r="G89" s="307"/>
    </row>
    <row r="90" spans="1:12" ht="27" customHeight="1" x14ac:dyDescent="0.4">
      <c r="A90" s="123" t="s">
        <v>61</v>
      </c>
      <c r="B90" s="281">
        <v>3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281">
        <v>25</v>
      </c>
      <c r="C91" s="212">
        <v>1</v>
      </c>
      <c r="D91" s="278">
        <v>0.80400000000000005</v>
      </c>
      <c r="E91" s="132">
        <f>IF(ISBLANK(D91),"-",$D$101/$D$98*D91)</f>
        <v>0.50134221282725222</v>
      </c>
      <c r="F91" s="278">
        <v>0.77700000000000002</v>
      </c>
      <c r="G91" s="133">
        <f>IF(ISBLANK(F91),"-",$D$101/$F$98*F91)</f>
        <v>0.51546596929494604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333">
        <v>0.82</v>
      </c>
      <c r="E92" s="137">
        <f>IF(ISBLANK(D92),"-",$D$101/$D$98*D92)</f>
        <v>0.51131917228650092</v>
      </c>
      <c r="F92" s="279">
        <v>0.78100000000000003</v>
      </c>
      <c r="G92" s="138">
        <f>IF(ISBLANK(F92),"-",$D$101/$F$98*F92)</f>
        <v>0.51811959075849789</v>
      </c>
      <c r="I92" s="308">
        <f>ABS((F96/D96*D95)-F95)/D95</f>
        <v>2.3252103553723657E-2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279">
        <v>0.82099999999999995</v>
      </c>
      <c r="E93" s="137">
        <f>IF(ISBLANK(D93),"-",$D$101/$D$98*D93)</f>
        <v>0.51194273225270404</v>
      </c>
      <c r="F93" s="279">
        <v>0.79700000000000004</v>
      </c>
      <c r="G93" s="138">
        <f>IF(ISBLANK(F93),"-",$D$101/$F$98*F93)</f>
        <v>0.52873407661270522</v>
      </c>
      <c r="I93" s="308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0.81500000000000006</v>
      </c>
      <c r="E95" s="147">
        <f>AVERAGE(E91:E94)</f>
        <v>0.50820137245548569</v>
      </c>
      <c r="F95" s="217">
        <f>AVERAGE(F91:F94)</f>
        <v>0.78500000000000003</v>
      </c>
      <c r="G95" s="218">
        <f>AVERAGE(G91:G94)</f>
        <v>0.52077321222204975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16.149999999999999</v>
      </c>
      <c r="E96" s="139"/>
      <c r="F96" s="151">
        <v>15.18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16.149999999999999</v>
      </c>
      <c r="E97" s="154"/>
      <c r="F97" s="153">
        <f>F96*$B$87</f>
        <v>15.18</v>
      </c>
    </row>
    <row r="98" spans="1:10" ht="19.5" customHeight="1" x14ac:dyDescent="0.3">
      <c r="A98" s="123" t="s">
        <v>76</v>
      </c>
      <c r="B98" s="223">
        <f>(B97/B96)*(B95/B94)*(B93/B92)*(B91/B90)*B89</f>
        <v>833.33333333333337</v>
      </c>
      <c r="C98" s="221" t="s">
        <v>115</v>
      </c>
      <c r="D98" s="224">
        <f>D97*$B$83/100</f>
        <v>16.036949999999997</v>
      </c>
      <c r="E98" s="157"/>
      <c r="F98" s="156">
        <f>F97*$B$83/100</f>
        <v>15.073740000000001</v>
      </c>
    </row>
    <row r="99" spans="1:10" ht="19.5" customHeight="1" x14ac:dyDescent="0.3">
      <c r="A99" s="294" t="s">
        <v>78</v>
      </c>
      <c r="B99" s="309"/>
      <c r="C99" s="221" t="s">
        <v>116</v>
      </c>
      <c r="D99" s="225">
        <f>D98/$B$98</f>
        <v>1.9244339999999995E-2</v>
      </c>
      <c r="E99" s="157"/>
      <c r="F99" s="160">
        <f>F98/$B$98</f>
        <v>1.8088488E-2</v>
      </c>
      <c r="G99" s="226"/>
      <c r="H99" s="149"/>
    </row>
    <row r="100" spans="1:10" ht="19.5" customHeight="1" x14ac:dyDescent="0.3">
      <c r="A100" s="296"/>
      <c r="B100" s="310"/>
      <c r="C100" s="221" t="s">
        <v>80</v>
      </c>
      <c r="D100" s="227">
        <f>$B$56/$B$116</f>
        <v>1.2E-2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10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10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0.51448729233876767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1.752393770657374E-2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280">
        <v>1000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281">
        <v>2</v>
      </c>
      <c r="C108" s="242">
        <v>1</v>
      </c>
      <c r="D108" s="331">
        <v>0.56499999999999995</v>
      </c>
      <c r="E108" s="272">
        <f t="shared" ref="E108:E113" si="1">IF(ISBLANK(D108),"-",D108/$D$103*$D$100*$B$116)</f>
        <v>658.90840269147623</v>
      </c>
      <c r="F108" s="243">
        <f t="shared" ref="F108:F113" si="2">IF(ISBLANK(D108), "-", E108/$B$56)</f>
        <v>1.0981806711524604</v>
      </c>
    </row>
    <row r="109" spans="1:10" ht="26.25" customHeight="1" x14ac:dyDescent="0.4">
      <c r="A109" s="123" t="s">
        <v>95</v>
      </c>
      <c r="B109" s="281">
        <v>100</v>
      </c>
      <c r="C109" s="242">
        <v>2</v>
      </c>
      <c r="D109" s="331">
        <v>0.55800000000000005</v>
      </c>
      <c r="E109" s="273">
        <f t="shared" si="1"/>
        <v>650.74493575547581</v>
      </c>
      <c r="F109" s="244">
        <f t="shared" si="2"/>
        <v>1.084574892925793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331">
        <v>0.52700000000000002</v>
      </c>
      <c r="E110" s="273">
        <f t="shared" si="1"/>
        <v>614.59243932461607</v>
      </c>
      <c r="F110" s="244">
        <f t="shared" si="2"/>
        <v>1.0243207322076935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331">
        <v>0.54400000000000004</v>
      </c>
      <c r="E111" s="273">
        <f t="shared" si="1"/>
        <v>634.41800188347452</v>
      </c>
      <c r="F111" s="244">
        <f t="shared" si="2"/>
        <v>1.0573633364724575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331">
        <v>0.47799999999999998</v>
      </c>
      <c r="E112" s="273">
        <f t="shared" si="1"/>
        <v>557.44817077261177</v>
      </c>
      <c r="F112" s="244">
        <f t="shared" si="2"/>
        <v>0.92908028462101966</v>
      </c>
    </row>
    <row r="113" spans="1:10" ht="26.25" customHeight="1" x14ac:dyDescent="0.4">
      <c r="A113" s="123" t="s">
        <v>100</v>
      </c>
      <c r="B113" s="124">
        <v>1</v>
      </c>
      <c r="C113" s="245">
        <v>6</v>
      </c>
      <c r="D113" s="332">
        <v>0.52400000000000002</v>
      </c>
      <c r="E113" s="274">
        <f t="shared" si="1"/>
        <v>611.09381063775857</v>
      </c>
      <c r="F113" s="246">
        <f t="shared" si="2"/>
        <v>1.0184896843962643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7"/>
    </row>
    <row r="115" spans="1:10" ht="26.25" customHeight="1" x14ac:dyDescent="0.4">
      <c r="A115" s="123" t="s">
        <v>102</v>
      </c>
      <c r="B115" s="124">
        <v>1</v>
      </c>
      <c r="C115" s="242"/>
      <c r="D115" s="248" t="s">
        <v>71</v>
      </c>
      <c r="E115" s="276">
        <f>AVERAGE(E108:E113)</f>
        <v>621.20096017756885</v>
      </c>
      <c r="F115" s="249">
        <f>AVERAGE(F108:F113)</f>
        <v>1.0353349336292814</v>
      </c>
    </row>
    <row r="116" spans="1:10" ht="27" customHeight="1" x14ac:dyDescent="0.4">
      <c r="A116" s="123" t="s">
        <v>103</v>
      </c>
      <c r="B116" s="155">
        <f>(B115/B114)*(B113/B112)*(B111/B110)*(B109/B108)*B107</f>
        <v>50000</v>
      </c>
      <c r="C116" s="250"/>
      <c r="D116" s="215" t="s">
        <v>84</v>
      </c>
      <c r="E116" s="251">
        <f>STDEV(E108:E113)/E115</f>
        <v>5.8838173555964823E-2</v>
      </c>
      <c r="F116" s="251">
        <f>STDEV(F108:F113)/F115</f>
        <v>5.8838173555964816E-2</v>
      </c>
      <c r="I116" s="97"/>
    </row>
    <row r="117" spans="1:10" ht="27" customHeight="1" x14ac:dyDescent="0.4">
      <c r="A117" s="294" t="s">
        <v>78</v>
      </c>
      <c r="B117" s="295"/>
      <c r="C117" s="252"/>
      <c r="D117" s="253" t="s">
        <v>20</v>
      </c>
      <c r="E117" s="254">
        <f>COUNT(E108:E113)</f>
        <v>6</v>
      </c>
      <c r="F117" s="254">
        <f>COUNT(F108:F113)</f>
        <v>6</v>
      </c>
      <c r="I117" s="97"/>
      <c r="J117" s="235"/>
    </row>
    <row r="118" spans="1:10" ht="19.5" customHeight="1" x14ac:dyDescent="0.3">
      <c r="A118" s="296"/>
      <c r="B118" s="297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3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298" t="str">
        <f>B20</f>
        <v>EFAVIRENZ</v>
      </c>
      <c r="D120" s="298"/>
      <c r="E120" s="204" t="s">
        <v>124</v>
      </c>
      <c r="F120" s="204"/>
      <c r="G120" s="205">
        <f>F115</f>
        <v>1.0353349336292814</v>
      </c>
      <c r="H120" s="97"/>
      <c r="I120" s="97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299" t="s">
        <v>26</v>
      </c>
      <c r="C122" s="299"/>
      <c r="E122" s="210" t="s">
        <v>27</v>
      </c>
      <c r="F122" s="257"/>
      <c r="G122" s="299" t="s">
        <v>28</v>
      </c>
      <c r="H122" s="299"/>
    </row>
    <row r="123" spans="1:10" ht="69.95" customHeight="1" x14ac:dyDescent="0.3">
      <c r="A123" s="258" t="s">
        <v>29</v>
      </c>
      <c r="B123" s="259"/>
      <c r="C123" s="259"/>
      <c r="E123" s="259"/>
      <c r="F123" s="97"/>
      <c r="G123" s="260"/>
      <c r="H123" s="260"/>
    </row>
    <row r="124" spans="1:10" ht="69.95" customHeight="1" x14ac:dyDescent="0.3">
      <c r="A124" s="258" t="s">
        <v>30</v>
      </c>
      <c r="B124" s="261"/>
      <c r="C124" s="261"/>
      <c r="E124" s="261"/>
      <c r="F124" s="97"/>
      <c r="G124" s="262"/>
      <c r="H124" s="262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2016-08-05T07:38:17Z</cp:lastPrinted>
  <dcterms:created xsi:type="dcterms:W3CDTF">2005-07-05T10:19:27Z</dcterms:created>
  <dcterms:modified xsi:type="dcterms:W3CDTF">2016-08-29T08:53:15Z</dcterms:modified>
</cp:coreProperties>
</file>