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October\"/>
    </mc:Choice>
  </mc:AlternateContent>
  <bookViews>
    <workbookView xWindow="510" yWindow="525" windowWidth="15015" windowHeight="7620" firstSheet="1" activeTab="2"/>
  </bookViews>
  <sheets>
    <sheet name="Uniformity" sheetId="23" r:id="rId1"/>
    <sheet name="SST TDF" sheetId="24" r:id="rId2"/>
    <sheet name="Tenofovir Disoproxil Fumarate" sheetId="18" r:id="rId3"/>
    <sheet name="SST lam" sheetId="25" r:id="rId4"/>
    <sheet name="Lamivudine" sheetId="19" r:id="rId5"/>
    <sheet name="SST Efav" sheetId="26" r:id="rId6"/>
    <sheet name="EFFAVIRENZ" sheetId="20" r:id="rId7"/>
  </sheets>
  <definedNames>
    <definedName name="_xlnm.Print_Area" localSheetId="6">EFFAVIRENZ!$A$1:$H$126</definedName>
    <definedName name="_xlnm.Print_Area" localSheetId="4">Lamivudine!$A$1:$H$126</definedName>
    <definedName name="_xlnm.Print_Area" localSheetId="2">'Tenofovir Disoproxil Fumarate'!$A$1:$H$125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B23" i="20" l="1"/>
  <c r="B22" i="20"/>
  <c r="B19" i="20"/>
  <c r="B23" i="19"/>
  <c r="B22" i="19"/>
  <c r="B19" i="19"/>
  <c r="B27" i="26"/>
  <c r="B28" i="26" s="1"/>
  <c r="B6" i="26"/>
  <c r="B29" i="25"/>
  <c r="B27" i="24"/>
  <c r="B28" i="24" s="1"/>
  <c r="B8" i="25"/>
  <c r="B9" i="25" s="1"/>
  <c r="B6" i="24"/>
  <c r="B39" i="26"/>
  <c r="E37" i="26"/>
  <c r="D37" i="26"/>
  <c r="C37" i="26"/>
  <c r="B37" i="26"/>
  <c r="B38" i="26" s="1"/>
  <c r="B18" i="26"/>
  <c r="E16" i="26"/>
  <c r="D16" i="26"/>
  <c r="C16" i="26"/>
  <c r="B16" i="26"/>
  <c r="B17" i="26" s="1"/>
  <c r="B7" i="26"/>
  <c r="B41" i="25"/>
  <c r="E39" i="25"/>
  <c r="D39" i="25"/>
  <c r="C39" i="25"/>
  <c r="B39" i="25"/>
  <c r="B40" i="25" s="1"/>
  <c r="B30" i="25"/>
  <c r="B20" i="25"/>
  <c r="E18" i="25"/>
  <c r="D18" i="25"/>
  <c r="C18" i="25"/>
  <c r="B18" i="25"/>
  <c r="B19" i="25" s="1"/>
  <c r="B39" i="24"/>
  <c r="E37" i="24"/>
  <c r="D37" i="24"/>
  <c r="C37" i="24"/>
  <c r="B37" i="24"/>
  <c r="B38" i="24" s="1"/>
  <c r="B25" i="24"/>
  <c r="B18" i="24"/>
  <c r="E16" i="24"/>
  <c r="D16" i="24"/>
  <c r="C16" i="24"/>
  <c r="B16" i="24"/>
  <c r="B17" i="24" s="1"/>
  <c r="B7" i="24"/>
  <c r="C46" i="23" l="1"/>
  <c r="B49" i="23" s="1"/>
  <c r="C45" i="23"/>
  <c r="D38" i="23"/>
  <c r="D33" i="23"/>
  <c r="D28" i="23"/>
  <c r="C19" i="23"/>
  <c r="D50" i="23" l="1"/>
  <c r="D24" i="23"/>
  <c r="D29" i="23"/>
  <c r="D34" i="23"/>
  <c r="D40" i="23"/>
  <c r="D25" i="23"/>
  <c r="D30" i="23"/>
  <c r="D36" i="23"/>
  <c r="D41" i="23"/>
  <c r="C49" i="23"/>
  <c r="B57" i="18"/>
  <c r="D26" i="23"/>
  <c r="D32" i="23"/>
  <c r="D37" i="23"/>
  <c r="D42" i="23"/>
  <c r="D49" i="23"/>
  <c r="C50" i="23"/>
  <c r="D27" i="23"/>
  <c r="D31" i="23"/>
  <c r="D35" i="23"/>
  <c r="D39" i="23"/>
  <c r="D43" i="23"/>
  <c r="B57" i="20" l="1"/>
  <c r="B57" i="19"/>
  <c r="D64" i="19"/>
  <c r="D64" i="20" l="1"/>
  <c r="D68" i="19"/>
  <c r="D68" i="20" s="1"/>
  <c r="D60" i="19"/>
  <c r="D60" i="20" s="1"/>
  <c r="C120" i="20" l="1"/>
  <c r="B116" i="20"/>
  <c r="D100" i="20"/>
  <c r="B98" i="20"/>
  <c r="F95" i="20"/>
  <c r="D95" i="20"/>
  <c r="G94" i="20"/>
  <c r="E94" i="20"/>
  <c r="I92" i="20"/>
  <c r="B87" i="20"/>
  <c r="F97" i="20" s="1"/>
  <c r="B81" i="20"/>
  <c r="B83" i="20" s="1"/>
  <c r="B80" i="20"/>
  <c r="B79" i="20"/>
  <c r="C76" i="20"/>
  <c r="H71" i="20"/>
  <c r="G71" i="20"/>
  <c r="B68" i="20"/>
  <c r="B69" i="20" s="1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F45" i="20" s="1"/>
  <c r="B30" i="20"/>
  <c r="C120" i="19"/>
  <c r="B116" i="19"/>
  <c r="D100" i="19"/>
  <c r="D101" i="19" s="1"/>
  <c r="B98" i="19"/>
  <c r="F95" i="19"/>
  <c r="D95" i="19"/>
  <c r="G94" i="19"/>
  <c r="E94" i="19"/>
  <c r="I92" i="19"/>
  <c r="B87" i="19"/>
  <c r="F97" i="19" s="1"/>
  <c r="B83" i="19"/>
  <c r="B79" i="19"/>
  <c r="C76" i="19"/>
  <c r="H71" i="19"/>
  <c r="G71" i="19"/>
  <c r="B68" i="19"/>
  <c r="H67" i="19"/>
  <c r="G67" i="19"/>
  <c r="H63" i="19"/>
  <c r="G63" i="19"/>
  <c r="B69" i="19"/>
  <c r="C56" i="19"/>
  <c r="B55" i="19"/>
  <c r="B45" i="19"/>
  <c r="D48" i="19" s="1"/>
  <c r="F42" i="19"/>
  <c r="D42" i="19"/>
  <c r="G41" i="19"/>
  <c r="E41" i="19"/>
  <c r="B34" i="19"/>
  <c r="F44" i="19" s="1"/>
  <c r="F45" i="19" s="1"/>
  <c r="B30" i="19"/>
  <c r="C120" i="18"/>
  <c r="B116" i="18"/>
  <c r="D100" i="18"/>
  <c r="D101" i="18" s="1"/>
  <c r="B98" i="18"/>
  <c r="F95" i="18"/>
  <c r="D95" i="18"/>
  <c r="G94" i="18"/>
  <c r="E94" i="18"/>
  <c r="I92" i="18"/>
  <c r="B87" i="18"/>
  <c r="F97" i="18" s="1"/>
  <c r="B81" i="18"/>
  <c r="B83" i="18" s="1"/>
  <c r="B80" i="18"/>
  <c r="B79" i="18"/>
  <c r="C76" i="18"/>
  <c r="H71" i="18"/>
  <c r="G71" i="18"/>
  <c r="B68" i="18"/>
  <c r="B69" i="18" s="1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F45" i="18" s="1"/>
  <c r="F46" i="18" s="1"/>
  <c r="B30" i="18"/>
  <c r="D101" i="20" l="1"/>
  <c r="F98" i="18"/>
  <c r="F99" i="18" s="1"/>
  <c r="F98" i="20"/>
  <c r="F99" i="20" s="1"/>
  <c r="I39" i="20"/>
  <c r="I39" i="19"/>
  <c r="F46" i="20"/>
  <c r="F46" i="19"/>
  <c r="I39" i="18"/>
  <c r="D102" i="19"/>
  <c r="G92" i="18"/>
  <c r="D102" i="18"/>
  <c r="G93" i="18"/>
  <c r="G91" i="18"/>
  <c r="G95" i="18" s="1"/>
  <c r="F98" i="19"/>
  <c r="F99" i="19" s="1"/>
  <c r="G39" i="20"/>
  <c r="G40" i="20"/>
  <c r="D49" i="20"/>
  <c r="G38" i="20"/>
  <c r="G39" i="19"/>
  <c r="G40" i="19"/>
  <c r="D49" i="19"/>
  <c r="G38" i="19"/>
  <c r="D102" i="20"/>
  <c r="G39" i="18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E39" i="20" l="1"/>
  <c r="G91" i="20"/>
  <c r="G92" i="20"/>
  <c r="E92" i="20"/>
  <c r="G93" i="20"/>
  <c r="E93" i="19"/>
  <c r="G92" i="19"/>
  <c r="G93" i="19"/>
  <c r="E38" i="20"/>
  <c r="G42" i="19"/>
  <c r="G42" i="18"/>
  <c r="E91" i="20"/>
  <c r="E40" i="20"/>
  <c r="E42" i="20" s="1"/>
  <c r="E92" i="18"/>
  <c r="E91" i="18"/>
  <c r="E38" i="18"/>
  <c r="E39" i="18"/>
  <c r="E93" i="20"/>
  <c r="E40" i="19"/>
  <c r="G91" i="19"/>
  <c r="E40" i="18"/>
  <c r="E38" i="19"/>
  <c r="E39" i="19"/>
  <c r="G42" i="20"/>
  <c r="E93" i="18"/>
  <c r="E92" i="19"/>
  <c r="E91" i="19"/>
  <c r="G95" i="20" l="1"/>
  <c r="G95" i="19"/>
  <c r="D50" i="20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D50" i="18"/>
  <c r="E42" i="18"/>
  <c r="D52" i="18"/>
  <c r="D103" i="20"/>
  <c r="E95" i="20"/>
  <c r="D105" i="20"/>
  <c r="G61" i="20" l="1"/>
  <c r="H61" i="20" s="1"/>
  <c r="G70" i="20"/>
  <c r="H70" i="20" s="1"/>
  <c r="G64" i="20"/>
  <c r="H64" i="20" s="1"/>
  <c r="G66" i="20"/>
  <c r="H66" i="20" s="1"/>
  <c r="G62" i="20"/>
  <c r="H62" i="20" s="1"/>
  <c r="G68" i="20"/>
  <c r="H68" i="20" s="1"/>
  <c r="G60" i="20"/>
  <c r="G69" i="20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2" i="20" l="1"/>
  <c r="G73" i="20" s="1"/>
  <c r="G74" i="20"/>
  <c r="H60" i="20"/>
  <c r="H72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E117" i="20"/>
  <c r="F108" i="20"/>
  <c r="E115" i="20"/>
  <c r="E116" i="20" s="1"/>
  <c r="E117" i="19"/>
  <c r="F108" i="19"/>
  <c r="E115" i="19"/>
  <c r="E116" i="19" s="1"/>
  <c r="H74" i="20" l="1"/>
  <c r="F117" i="19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<sst xmlns="http://schemas.openxmlformats.org/spreadsheetml/2006/main" count="642" uniqueCount="137">
  <si>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</si>
  <si>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</si>
  <si>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</si>
  <si>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</si>
  <si>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</si>
  <si>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</si>
  <si>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</si>
  <si>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</si>
  <si>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</si>
  <si>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</si>
  <si>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</si>
  <si>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</si>
  <si>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</si>
  <si>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</si>
  <si>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</si>
  <si>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</si>
  <si>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</si>
  <si>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</si>
  <si>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</si>
  <si>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</si>
  <si>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</si>
  <si>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</si>
  <si>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</si>
  <si>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</si>
  <si>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</si>
  <si>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</si>
  <si>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</si>
  <si>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</si>
  <si>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</si>
  <si>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</si>
  <si>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</si>
  <si>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</si>
  <si>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</si>
  <si>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</si>
  <si>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</si>
  <si>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</si>
  <si>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</si>
  <si>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</si>
  <si>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</si>
  <si>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</si>
  <si>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</si>
  <si>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</si>
  <si>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</si>
  <si>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</si>
  <si>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</si>
  <si>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</si>
  <si>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</si>
  <si>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</si>
  <si>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</si>
  <si>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</si>
  <si>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</si>
  <si>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</si>
  <si>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</si>
  <si>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</si>
  <si>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</si>
  <si>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</si>
  <si>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</si>
  <si>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</si>
  <si>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</si>
  <si>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</si>
  <si>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</si>
  <si>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</si>
  <si>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</si>
  <si>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</si>
  <si>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</si>
  <si>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</si>
  <si>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</si>
  <si>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</si>
  <si>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</si>
  <si>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</si>
  <si>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</si>
  <si>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</si>
  <si>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</si>
  <si>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</si>
  <si>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</si>
  <si>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</si>
  <si>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</si>
  <si>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</si>
  <si>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</si>
  <si>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</si>
  <si>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</si>
  <si>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</si>
  <si>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</si>
  <si>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</si>
  <si>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</si>
  <si>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</si>
  <si>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</si>
  <si>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</si>
  <si>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</si>
  <si>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</si>
  <si>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</si>
  <si>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</si>
  <si>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</si>
  <si>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</si>
  <si>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</si>
  <si>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</si>
  <si>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</si>
  <si>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</si>
  <si>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</si>
  <si>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</si>
  <si>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</si>
  <si>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</si>
  <si>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</si>
  <si>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</si>
  <si>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</si>
  <si>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</si>
  <si>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</si>
  <si>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</si>
  <si>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</si>
  <si>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</si>
  <si>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</si>
  <si>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</si>
  <si>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</si>
  <si>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</si>
  <si>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</si>
  <si>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</si>
  <si>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</si>
  <si>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</si>
  <si>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</si>
  <si>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</si>
  <si>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</si>
  <si>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</si>
  <si>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</si>
  <si>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</si>
  <si>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</si>
  <si>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</si>
  <si>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</si>
  <si>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L3-7</t>
  </si>
  <si>
    <t>Effavirenz</t>
  </si>
  <si>
    <t>Efavirenz</t>
  </si>
  <si>
    <t>NDQB201608071</t>
  </si>
  <si>
    <t xml:space="preserve">Tenofovir Disoproxil Fumarate 300mg, Lamivudine 300mg &amp; Efavirenz 600mg  </t>
  </si>
  <si>
    <t xml:space="preserve">Each film coated tablet contains Tenofovir Disoproxil Fumarate 300mg, Lamivudine 300mg &amp; Efavirenz 600mg  </t>
  </si>
  <si>
    <t>2016-08-10 07:23:41</t>
  </si>
  <si>
    <t>Tenofovir DF</t>
  </si>
  <si>
    <t>L3-10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</si>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</sst>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</cellStyleXfs>
  <cellXfs count="80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1" fillId="2" borderId="0" xfId="1" applyFont="1" applyFill="1"/>
    <xf numFmtId="0" fontId="25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3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4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1" fillId="2" borderId="0" xfId="1" applyFill="1"/>
    <xf numFmtId="0" fontId="2" fillId="2" borderId="0" xfId="7" applyFont="1" applyFill="1"/>
    <xf numFmtId="0" fontId="4" fillId="2" borderId="0" xfId="7" applyFont="1" applyFill="1"/>
    <xf numFmtId="0" fontId="4" fillId="2" borderId="0" xfId="7" applyFont="1" applyFill="1" applyAlignment="1">
      <alignment horizontal="left"/>
    </xf>
    <xf numFmtId="0" fontId="5" fillId="2" borderId="0" xfId="7" applyFont="1" applyFill="1" applyAlignment="1">
      <alignment horizontal="left"/>
    </xf>
    <xf numFmtId="0" fontId="5" fillId="2" borderId="0" xfId="7" applyFont="1" applyFill="1" applyAlignment="1">
      <alignment horizontal="center"/>
    </xf>
    <xf numFmtId="0" fontId="6" fillId="2" borderId="0" xfId="7" applyFont="1" applyFill="1"/>
    <xf numFmtId="0" fontId="5" fillId="2" borderId="0" xfId="7" applyFont="1" applyFill="1"/>
    <xf numFmtId="2" fontId="5" fillId="2" borderId="0" xfId="7" applyNumberFormat="1" applyFont="1" applyFill="1" applyAlignment="1">
      <alignment horizontal="center"/>
    </xf>
    <xf numFmtId="0" fontId="5" fillId="2" borderId="0" xfId="7" applyFont="1" applyFill="1" applyAlignment="1">
      <alignment horizontal="center" vertical="top"/>
    </xf>
    <xf numFmtId="164" fontId="5" fillId="2" borderId="0" xfId="7" applyNumberFormat="1" applyFont="1" applyFill="1" applyAlignment="1">
      <alignment horizontal="center"/>
    </xf>
    <xf numFmtId="22" fontId="6" fillId="2" borderId="0" xfId="7" applyNumberFormat="1" applyFont="1" applyFill="1"/>
    <xf numFmtId="0" fontId="5" fillId="2" borderId="1" xfId="7" applyFont="1" applyFill="1" applyBorder="1" applyAlignment="1">
      <alignment horizontal="center"/>
    </xf>
    <xf numFmtId="0" fontId="5" fillId="2" borderId="2" xfId="7" applyFont="1" applyFill="1" applyBorder="1" applyAlignment="1">
      <alignment horizontal="center"/>
    </xf>
    <xf numFmtId="0" fontId="6" fillId="2" borderId="3" xfId="7" applyFont="1" applyFill="1" applyBorder="1" applyAlignment="1">
      <alignment horizontal="center"/>
    </xf>
    <xf numFmtId="0" fontId="7" fillId="3" borderId="3" xfId="7" applyFont="1" applyFill="1" applyBorder="1" applyAlignment="1" applyProtection="1">
      <alignment horizontal="center"/>
      <protection locked="0"/>
    </xf>
    <xf numFmtId="2" fontId="7" fillId="3" borderId="3" xfId="7" applyNumberFormat="1" applyFont="1" applyFill="1" applyBorder="1" applyAlignment="1" applyProtection="1">
      <alignment horizontal="center"/>
      <protection locked="0"/>
    </xf>
    <xf numFmtId="2" fontId="7" fillId="3" borderId="4" xfId="7" applyNumberFormat="1" applyFont="1" applyFill="1" applyBorder="1" applyAlignment="1" applyProtection="1">
      <alignment horizontal="center"/>
      <protection locked="0"/>
    </xf>
    <xf numFmtId="0" fontId="7" fillId="3" borderId="5" xfId="7" applyFont="1" applyFill="1" applyBorder="1" applyAlignment="1" applyProtection="1">
      <alignment horizontal="center"/>
      <protection locked="0"/>
    </xf>
    <xf numFmtId="2" fontId="7" fillId="3" borderId="5" xfId="7" applyNumberFormat="1" applyFont="1" applyFill="1" applyBorder="1" applyAlignment="1" applyProtection="1">
      <alignment horizontal="center"/>
      <protection locked="0"/>
    </xf>
    <xf numFmtId="0" fontId="6" fillId="2" borderId="4" xfId="7" applyFont="1" applyFill="1" applyBorder="1"/>
    <xf numFmtId="1" fontId="5" fillId="4" borderId="2" xfId="7" applyNumberFormat="1" applyFont="1" applyFill="1" applyBorder="1" applyAlignment="1">
      <alignment horizontal="center"/>
    </xf>
    <xf numFmtId="1" fontId="5" fillId="4" borderId="1" xfId="7" applyNumberFormat="1" applyFont="1" applyFill="1" applyBorder="1" applyAlignment="1">
      <alignment horizontal="center"/>
    </xf>
    <xf numFmtId="2" fontId="5" fillId="4" borderId="1" xfId="7" applyNumberFormat="1" applyFont="1" applyFill="1" applyBorder="1" applyAlignment="1">
      <alignment horizontal="center"/>
    </xf>
    <xf numFmtId="0" fontId="6" fillId="2" borderId="3" xfId="7" applyFont="1" applyFill="1" applyBorder="1"/>
    <xf numFmtId="10" fontId="5" fillId="5" borderId="1" xfId="7" applyNumberFormat="1" applyFont="1" applyFill="1" applyBorder="1" applyAlignment="1">
      <alignment horizontal="center"/>
    </xf>
    <xf numFmtId="165" fontId="5" fillId="2" borderId="0" xfId="7" applyNumberFormat="1" applyFont="1" applyFill="1" applyAlignment="1">
      <alignment horizontal="center"/>
    </xf>
    <xf numFmtId="0" fontId="6" fillId="2" borderId="6" xfId="7" applyFont="1" applyFill="1" applyBorder="1"/>
    <xf numFmtId="0" fontId="6" fillId="2" borderId="5" xfId="7" applyFont="1" applyFill="1" applyBorder="1"/>
    <xf numFmtId="0" fontId="5" fillId="4" borderId="1" xfId="7" applyFont="1" applyFill="1" applyBorder="1" applyAlignment="1">
      <alignment horizontal="center"/>
    </xf>
    <xf numFmtId="0" fontId="5" fillId="2" borderId="7" xfId="7" applyFont="1" applyFill="1" applyBorder="1" applyAlignment="1">
      <alignment horizontal="center"/>
    </xf>
    <xf numFmtId="0" fontId="6" fillId="2" borderId="7" xfId="7" applyFont="1" applyFill="1" applyBorder="1"/>
    <xf numFmtId="0" fontId="6" fillId="2" borderId="8" xfId="7" applyFont="1" applyFill="1" applyBorder="1"/>
    <xf numFmtId="0" fontId="6" fillId="2" borderId="0" xfId="7" applyFont="1" applyFill="1" applyAlignment="1" applyProtection="1">
      <alignment horizontal="left"/>
      <protection locked="0"/>
    </xf>
    <xf numFmtId="0" fontId="6" fillId="2" borderId="0" xfId="7" applyFont="1" applyFill="1" applyProtection="1">
      <protection locked="0"/>
    </xf>
    <xf numFmtId="2" fontId="5" fillId="2" borderId="0" xfId="7" applyNumberFormat="1" applyFont="1" applyFill="1" applyAlignment="1">
      <alignment horizontal="left"/>
    </xf>
    <xf numFmtId="0" fontId="2" fillId="2" borderId="9" xfId="7" applyFont="1" applyFill="1" applyBorder="1"/>
    <xf numFmtId="0" fontId="2" fillId="2" borderId="0" xfId="7" applyFont="1" applyFill="1" applyAlignment="1">
      <alignment horizontal="center"/>
    </xf>
    <xf numFmtId="10" fontId="2" fillId="2" borderId="9" xfId="7" applyNumberFormat="1" applyFont="1" applyFill="1" applyBorder="1"/>
    <xf numFmtId="0" fontId="21" fillId="2" borderId="0" xfId="7" applyFill="1"/>
    <xf numFmtId="0" fontId="1" fillId="2" borderId="10" xfId="7" applyFont="1" applyFill="1" applyBorder="1" applyAlignment="1">
      <alignment horizontal="center"/>
    </xf>
    <xf numFmtId="0" fontId="2" fillId="2" borderId="10" xfId="7" applyFont="1" applyFill="1" applyBorder="1" applyAlignment="1">
      <alignment horizontal="center"/>
    </xf>
    <xf numFmtId="0" fontId="1" fillId="2" borderId="0" xfId="7" applyFont="1" applyFill="1" applyAlignment="1">
      <alignment horizontal="right"/>
    </xf>
    <xf numFmtId="0" fontId="2" fillId="2" borderId="7" xfId="7" applyFont="1" applyFill="1" applyBorder="1"/>
    <xf numFmtId="0" fontId="1" fillId="2" borderId="11" xfId="7" applyFont="1" applyFill="1" applyBorder="1"/>
    <xf numFmtId="0" fontId="2" fillId="2" borderId="11" xfId="7" applyFont="1" applyFill="1" applyBorder="1"/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5" fillId="2" borderId="18" xfId="1" applyFont="1" applyFill="1" applyBorder="1" applyAlignment="1">
      <alignment horizontal="center" wrapText="1"/>
    </xf>
    <xf numFmtId="0" fontId="25" fillId="2" borderId="19" xfId="1" applyFont="1" applyFill="1" applyBorder="1" applyAlignment="1">
      <alignment horizontal="center" wrapText="1"/>
    </xf>
    <xf numFmtId="0" fontId="25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7" applyFont="1" applyFill="1" applyAlignment="1">
      <alignment horizontal="center"/>
    </xf>
    <xf numFmtId="0" fontId="1" fillId="2" borderId="10" xfId="7" applyFont="1" applyFill="1" applyBorder="1" applyAlignment="1">
      <alignment horizontal="center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/>
    </xf>
    <xf numFmtId="0" fontId="16" fillId="2" borderId="10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/>
    </xf>
  </cellXfs>
  <cellStyles count="10">
    <cellStyle name="Normal" xfId="0" builtinId="0"/>
    <cellStyle name="Normal 2" xfId="1"/>
    <cellStyle name="Normal 3" xfId="2"/>
    <cellStyle name="Normal 3 2" xfId="9"/>
    <cellStyle name="Normal 4" xfId="3"/>
    <cellStyle name="Normal 4 2" xfId="8"/>
    <cellStyle name="Normal 5" xfId="4"/>
    <cellStyle name="Normal 6" xfId="5"/>
    <cellStyle name="Normal 7" xfId="6"/>
    <cellStyle name="Normal 7 2" xfId="7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F44" sqref="F44"/>
    </sheetView>
  </sheetViews>
  <sheetFormatPr defaultRowHeight="15" x14ac:dyDescent="0.3"/>
  <cols>
    <col min="1" max="1" width="15.5703125" style="499" customWidth="1"/>
    <col min="2" max="2" width="18.42578125" style="499" customWidth="1"/>
    <col min="3" max="3" width="14.28515625" style="499" customWidth="1"/>
    <col min="4" max="4" width="15" style="499" customWidth="1"/>
    <col min="5" max="5" width="9.140625" style="499" customWidth="1"/>
    <col min="6" max="6" width="27.85546875" style="499" customWidth="1"/>
    <col min="7" max="7" width="12.28515625" style="499" customWidth="1"/>
    <col min="8" max="8" width="9.140625" style="499" customWidth="1"/>
    <col min="9" max="16384" width="9.140625" style="542"/>
  </cols>
  <sheetData>
    <row r="10" spans="1:7" ht="13.5" customHeight="1" thickBot="1" x14ac:dyDescent="0.35"/>
    <row r="11" spans="1:7" ht="13.5" customHeight="1" thickBot="1" x14ac:dyDescent="0.35">
      <c r="A11" s="676" t="s">
        <v>28</v>
      </c>
      <c r="B11" s="677"/>
      <c r="C11" s="677"/>
      <c r="D11" s="677"/>
      <c r="E11" s="677"/>
      <c r="F11" s="678"/>
      <c r="G11" s="500"/>
    </row>
    <row r="12" spans="1:7" ht="16.5" customHeight="1" x14ac:dyDescent="0.3">
      <c r="A12" s="679" t="s">
        <v>29</v>
      </c>
      <c r="B12" s="679"/>
      <c r="C12" s="679"/>
      <c r="D12" s="679"/>
      <c r="E12" s="679"/>
      <c r="F12" s="679"/>
      <c r="G12" s="501"/>
    </row>
    <row r="14" spans="1:7" ht="16.5" customHeight="1" x14ac:dyDescent="0.3">
      <c r="A14" s="680" t="s">
        <v>30</v>
      </c>
      <c r="B14" s="680"/>
      <c r="C14" s="502" t="s">
        <v>5</v>
      </c>
    </row>
    <row r="15" spans="1:7" ht="16.5" customHeight="1" x14ac:dyDescent="0.3">
      <c r="A15" s="680" t="s">
        <v>31</v>
      </c>
      <c r="B15" s="680"/>
      <c r="C15" s="502" t="s">
        <v>130</v>
      </c>
    </row>
    <row r="16" spans="1:7" ht="16.5" customHeight="1" x14ac:dyDescent="0.3">
      <c r="A16" s="680" t="s">
        <v>32</v>
      </c>
      <c r="B16" s="680"/>
      <c r="C16" s="502" t="s">
        <v>131</v>
      </c>
    </row>
    <row r="17" spans="1:5" ht="16.5" customHeight="1" x14ac:dyDescent="0.3">
      <c r="A17" s="680" t="s">
        <v>33</v>
      </c>
      <c r="B17" s="680"/>
      <c r="C17" s="502" t="s">
        <v>132</v>
      </c>
    </row>
    <row r="18" spans="1:5" ht="16.5" customHeight="1" x14ac:dyDescent="0.3">
      <c r="A18" s="680" t="s">
        <v>34</v>
      </c>
      <c r="B18" s="680"/>
      <c r="C18" s="503" t="s">
        <v>133</v>
      </c>
    </row>
    <row r="19" spans="1:5" ht="16.5" customHeight="1" x14ac:dyDescent="0.3">
      <c r="A19" s="680" t="s">
        <v>35</v>
      </c>
      <c r="B19" s="680"/>
      <c r="C19" s="503" t="e">
        <f>#REF!</f>
        <v>#REF!</v>
      </c>
    </row>
    <row r="20" spans="1:5" ht="16.5" customHeight="1" x14ac:dyDescent="0.3">
      <c r="A20" s="504"/>
      <c r="B20" s="504"/>
      <c r="C20" s="505"/>
    </row>
    <row r="21" spans="1:5" ht="16.5" customHeight="1" x14ac:dyDescent="0.3">
      <c r="A21" s="679" t="s">
        <v>1</v>
      </c>
      <c r="B21" s="679"/>
      <c r="C21" s="506" t="s">
        <v>36</v>
      </c>
      <c r="D21" s="507"/>
    </row>
    <row r="22" spans="1:5" ht="15.75" customHeight="1" thickBot="1" x14ac:dyDescent="0.35">
      <c r="A22" s="681"/>
      <c r="B22" s="681"/>
      <c r="C22" s="508"/>
      <c r="D22" s="681"/>
      <c r="E22" s="681"/>
    </row>
    <row r="23" spans="1:5" ht="33.75" customHeight="1" thickBot="1" x14ac:dyDescent="0.35">
      <c r="C23" s="509" t="s">
        <v>37</v>
      </c>
      <c r="D23" s="510" t="s">
        <v>38</v>
      </c>
      <c r="E23" s="511"/>
    </row>
    <row r="24" spans="1:5" ht="15.75" customHeight="1" x14ac:dyDescent="0.3">
      <c r="C24" s="512">
        <v>1890.65</v>
      </c>
      <c r="D24" s="513">
        <f t="shared" ref="D24:D43" si="0">(C24-$C$46)/$C$46</f>
        <v>-4.8183917919953825E-3</v>
      </c>
      <c r="E24" s="514"/>
    </row>
    <row r="25" spans="1:5" ht="15.75" customHeight="1" x14ac:dyDescent="0.3">
      <c r="C25" s="512">
        <v>1925.96</v>
      </c>
      <c r="D25" s="515">
        <f t="shared" si="0"/>
        <v>1.376773604013885E-2</v>
      </c>
      <c r="E25" s="514"/>
    </row>
    <row r="26" spans="1:5" ht="15.75" customHeight="1" x14ac:dyDescent="0.3">
      <c r="C26" s="512">
        <v>1869.94</v>
      </c>
      <c r="D26" s="515">
        <f t="shared" si="0"/>
        <v>-1.5719516329052909E-2</v>
      </c>
      <c r="E26" s="514"/>
    </row>
    <row r="27" spans="1:5" ht="15.75" customHeight="1" x14ac:dyDescent="0.3">
      <c r="C27" s="512">
        <v>1897.06</v>
      </c>
      <c r="D27" s="515">
        <f t="shared" si="0"/>
        <v>-1.4443595234035415E-3</v>
      </c>
      <c r="E27" s="514"/>
    </row>
    <row r="28" spans="1:5" ht="15.75" customHeight="1" x14ac:dyDescent="0.3">
      <c r="C28" s="512">
        <v>1881.5</v>
      </c>
      <c r="D28" s="515">
        <f t="shared" si="0"/>
        <v>-9.6346781036359998E-3</v>
      </c>
      <c r="E28" s="514"/>
    </row>
    <row r="29" spans="1:5" ht="15.75" customHeight="1" x14ac:dyDescent="0.3">
      <c r="C29" s="512">
        <v>1931.46</v>
      </c>
      <c r="D29" s="515">
        <f t="shared" si="0"/>
        <v>1.6662771528010229E-2</v>
      </c>
      <c r="E29" s="514"/>
    </row>
    <row r="30" spans="1:5" ht="15.75" customHeight="1" x14ac:dyDescent="0.3">
      <c r="C30" s="512">
        <v>1901.31</v>
      </c>
      <c r="D30" s="515">
        <f t="shared" si="0"/>
        <v>7.9271335358797965E-4</v>
      </c>
      <c r="E30" s="514"/>
    </row>
    <row r="31" spans="1:5" ht="15.75" customHeight="1" x14ac:dyDescent="0.3">
      <c r="C31" s="512">
        <v>1913</v>
      </c>
      <c r="D31" s="515">
        <f t="shared" si="0"/>
        <v>6.9459796905364515E-3</v>
      </c>
      <c r="E31" s="514"/>
    </row>
    <row r="32" spans="1:5" ht="15.75" customHeight="1" x14ac:dyDescent="0.3">
      <c r="C32" s="512">
        <v>1892.37</v>
      </c>
      <c r="D32" s="515">
        <f t="shared" si="0"/>
        <v>-3.9130352394248016E-3</v>
      </c>
      <c r="E32" s="514"/>
    </row>
    <row r="33" spans="1:7" ht="15.75" customHeight="1" x14ac:dyDescent="0.3">
      <c r="C33" s="512">
        <v>1887.49</v>
      </c>
      <c r="D33" s="515">
        <f t="shared" si="0"/>
        <v>-6.4817212722997099E-3</v>
      </c>
      <c r="E33" s="514"/>
    </row>
    <row r="34" spans="1:7" ht="15.75" customHeight="1" x14ac:dyDescent="0.3">
      <c r="C34" s="512">
        <v>1921.58</v>
      </c>
      <c r="D34" s="515">
        <f t="shared" si="0"/>
        <v>1.1462235051615767E-2</v>
      </c>
      <c r="E34" s="514"/>
    </row>
    <row r="35" spans="1:7" ht="15.75" customHeight="1" x14ac:dyDescent="0.3">
      <c r="C35" s="512">
        <v>1897.58</v>
      </c>
      <c r="D35" s="515">
        <f t="shared" si="0"/>
        <v>-1.1706470772775296E-3</v>
      </c>
      <c r="E35" s="514"/>
    </row>
    <row r="36" spans="1:7" ht="15.75" customHeight="1" x14ac:dyDescent="0.3">
      <c r="C36" s="512">
        <v>1893.69</v>
      </c>
      <c r="D36" s="515">
        <f t="shared" si="0"/>
        <v>-3.2182267223355844E-3</v>
      </c>
      <c r="E36" s="514"/>
    </row>
    <row r="37" spans="1:7" ht="15.75" customHeight="1" x14ac:dyDescent="0.3">
      <c r="C37" s="512">
        <v>1900.73</v>
      </c>
      <c r="D37" s="515">
        <f t="shared" si="0"/>
        <v>4.8741870213976326E-4</v>
      </c>
      <c r="E37" s="514"/>
    </row>
    <row r="38" spans="1:7" ht="15.75" customHeight="1" x14ac:dyDescent="0.3">
      <c r="C38" s="512">
        <v>1889.16</v>
      </c>
      <c r="D38" s="515">
        <f t="shared" si="0"/>
        <v>-5.6026832241641792E-3</v>
      </c>
      <c r="E38" s="514"/>
    </row>
    <row r="39" spans="1:7" ht="15.75" customHeight="1" x14ac:dyDescent="0.3">
      <c r="C39" s="512">
        <v>1923.51</v>
      </c>
      <c r="D39" s="515">
        <f t="shared" si="0"/>
        <v>1.2478129322814302E-2</v>
      </c>
      <c r="E39" s="514"/>
    </row>
    <row r="40" spans="1:7" ht="15.75" customHeight="1" x14ac:dyDescent="0.3">
      <c r="C40" s="512">
        <v>1893.95</v>
      </c>
      <c r="D40" s="515">
        <f t="shared" si="0"/>
        <v>-3.0813704992725785E-3</v>
      </c>
      <c r="E40" s="514"/>
    </row>
    <row r="41" spans="1:7" ht="15.75" customHeight="1" x14ac:dyDescent="0.3">
      <c r="C41" s="512">
        <v>1864</v>
      </c>
      <c r="D41" s="515">
        <f t="shared" si="0"/>
        <v>-1.8846154655954028E-2</v>
      </c>
      <c r="E41" s="514"/>
    </row>
    <row r="42" spans="1:7" ht="15.75" customHeight="1" x14ac:dyDescent="0.3">
      <c r="C42" s="512">
        <v>1915.47</v>
      </c>
      <c r="D42" s="515">
        <f t="shared" si="0"/>
        <v>8.2461138096350667E-3</v>
      </c>
      <c r="E42" s="514"/>
    </row>
    <row r="43" spans="1:7" ht="16.5" customHeight="1" thickBot="1" x14ac:dyDescent="0.35">
      <c r="C43" s="516">
        <v>1905.67</v>
      </c>
      <c r="D43" s="517">
        <f t="shared" si="0"/>
        <v>3.0876869403369954E-3</v>
      </c>
      <c r="E43" s="514"/>
    </row>
    <row r="44" spans="1:7" ht="16.5" customHeight="1" thickBot="1" x14ac:dyDescent="0.35">
      <c r="C44" s="518"/>
      <c r="D44" s="514"/>
      <c r="E44" s="519"/>
    </row>
    <row r="45" spans="1:7" ht="16.5" customHeight="1" thickBot="1" x14ac:dyDescent="0.35">
      <c r="B45" s="520" t="s">
        <v>39</v>
      </c>
      <c r="C45" s="521">
        <f>SUM(C24:C44)</f>
        <v>37996.080000000002</v>
      </c>
      <c r="D45" s="522"/>
      <c r="E45" s="518"/>
    </row>
    <row r="46" spans="1:7" ht="17.25" customHeight="1" thickBot="1" x14ac:dyDescent="0.35">
      <c r="B46" s="520" t="s">
        <v>40</v>
      </c>
      <c r="C46" s="523">
        <f>AVERAGE(C24:C44)</f>
        <v>1899.8040000000001</v>
      </c>
      <c r="E46" s="524"/>
    </row>
    <row r="47" spans="1:7" ht="17.25" customHeight="1" thickBot="1" x14ac:dyDescent="0.35">
      <c r="A47" s="502"/>
      <c r="B47" s="525"/>
      <c r="D47" s="526"/>
      <c r="E47" s="524"/>
    </row>
    <row r="48" spans="1:7" ht="33.75" customHeight="1" thickBot="1" x14ac:dyDescent="0.35">
      <c r="B48" s="527" t="s">
        <v>40</v>
      </c>
      <c r="C48" s="510" t="s">
        <v>41</v>
      </c>
      <c r="D48" s="528"/>
      <c r="G48" s="526"/>
    </row>
    <row r="49" spans="1:6" ht="17.25" customHeight="1" thickBot="1" x14ac:dyDescent="0.35">
      <c r="B49" s="674">
        <f>C46</f>
        <v>1899.8040000000001</v>
      </c>
      <c r="C49" s="529">
        <f>-IF(C46&lt;=80,10%,IF(C46&lt;250,7.5%,5%))</f>
        <v>-0.05</v>
      </c>
      <c r="D49" s="530">
        <f>IF(C46&lt;=80,C46*0.9,IF(C46&lt;250,C46*0.925,C46*0.95))</f>
        <v>1804.8137999999999</v>
      </c>
    </row>
    <row r="50" spans="1:6" ht="17.25" customHeight="1" thickBot="1" x14ac:dyDescent="0.35">
      <c r="B50" s="675"/>
      <c r="C50" s="531">
        <f>IF(C46&lt;=80, 10%, IF(C46&lt;250, 7.5%, 5%))</f>
        <v>0.05</v>
      </c>
      <c r="D50" s="530">
        <f>IF(C46&lt;=80, C46*1.1, IF(C46&lt;250, C46*1.075, C46*1.05))</f>
        <v>1994.7942000000003</v>
      </c>
    </row>
    <row r="51" spans="1:6" ht="16.5" customHeight="1" thickBot="1" x14ac:dyDescent="0.35">
      <c r="A51" s="532"/>
      <c r="B51" s="533"/>
      <c r="C51" s="502"/>
      <c r="D51" s="534"/>
      <c r="E51" s="502"/>
      <c r="F51" s="507"/>
    </row>
    <row r="52" spans="1:6" ht="16.5" customHeight="1" x14ac:dyDescent="0.3">
      <c r="A52" s="502"/>
      <c r="B52" s="535" t="s">
        <v>23</v>
      </c>
      <c r="C52" s="535"/>
      <c r="D52" s="536" t="s">
        <v>24</v>
      </c>
      <c r="E52" s="537"/>
      <c r="F52" s="536" t="s">
        <v>25</v>
      </c>
    </row>
    <row r="53" spans="1:6" ht="34.5" customHeight="1" x14ac:dyDescent="0.3">
      <c r="A53" s="504" t="s">
        <v>26</v>
      </c>
      <c r="B53" s="538"/>
      <c r="C53" s="502"/>
      <c r="D53" s="538"/>
      <c r="E53" s="502"/>
      <c r="F53" s="538"/>
    </row>
    <row r="54" spans="1:6" ht="34.5" customHeight="1" x14ac:dyDescent="0.3">
      <c r="A54" s="504" t="s">
        <v>27</v>
      </c>
      <c r="B54" s="539"/>
      <c r="C54" s="540"/>
      <c r="D54" s="539"/>
      <c r="E54" s="502"/>
      <c r="F54" s="54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9" zoomScale="85" zoomScaleSheetLayoutView="85" workbookViewId="0">
      <selection activeCell="B28" sqref="B28"/>
    </sheetView>
  </sheetViews>
  <sheetFormatPr defaultRowHeight="13.5" x14ac:dyDescent="0.2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81"/>
  </cols>
  <sheetData>
    <row r="1" spans="1:5" ht="18.75" customHeight="1" x14ac:dyDescent="0.3">
      <c r="A1" s="682" t="s">
        <v>0</v>
      </c>
      <c r="B1" s="682"/>
      <c r="C1" s="682"/>
      <c r="D1" s="682"/>
      <c r="E1" s="682"/>
    </row>
    <row r="2" spans="1:5" ht="16.5" customHeight="1" x14ac:dyDescent="0.3">
      <c r="A2" s="544" t="s">
        <v>1</v>
      </c>
      <c r="B2" s="545" t="s">
        <v>2</v>
      </c>
    </row>
    <row r="3" spans="1:5" ht="16.5" customHeight="1" x14ac:dyDescent="0.3">
      <c r="A3" s="546" t="s">
        <v>3</v>
      </c>
      <c r="B3" s="546" t="s">
        <v>122</v>
      </c>
      <c r="D3" s="547"/>
      <c r="E3" s="548"/>
    </row>
    <row r="4" spans="1:5" ht="16.5" customHeight="1" x14ac:dyDescent="0.3">
      <c r="A4" s="549" t="s">
        <v>4</v>
      </c>
      <c r="B4" s="550" t="s">
        <v>134</v>
      </c>
      <c r="C4" s="548"/>
      <c r="D4" s="548"/>
      <c r="E4" s="548"/>
    </row>
    <row r="5" spans="1:5" ht="16.5" customHeight="1" x14ac:dyDescent="0.3">
      <c r="A5" s="549" t="s">
        <v>6</v>
      </c>
      <c r="B5" s="551">
        <v>98.8</v>
      </c>
      <c r="C5" s="548"/>
      <c r="D5" s="548"/>
      <c r="E5" s="548"/>
    </row>
    <row r="6" spans="1:5" ht="16.5" customHeight="1" x14ac:dyDescent="0.3">
      <c r="A6" s="546" t="s">
        <v>7</v>
      </c>
      <c r="B6" s="550">
        <f>'Tenofovir Disoproxil Fumarate'!D43</f>
        <v>14.56</v>
      </c>
      <c r="C6" s="548"/>
      <c r="D6" s="548"/>
      <c r="E6" s="548"/>
    </row>
    <row r="7" spans="1:5" ht="16.5" customHeight="1" x14ac:dyDescent="0.3">
      <c r="A7" s="546" t="s">
        <v>8</v>
      </c>
      <c r="B7" s="552">
        <f>B6/50*10/25</f>
        <v>0.11648</v>
      </c>
      <c r="C7" s="548"/>
      <c r="D7" s="548"/>
      <c r="E7" s="548"/>
    </row>
    <row r="8" spans="1:5" ht="15.75" customHeight="1" x14ac:dyDescent="0.25">
      <c r="A8" s="548"/>
      <c r="B8" s="553"/>
      <c r="C8" s="548"/>
      <c r="D8" s="548"/>
      <c r="E8" s="548"/>
    </row>
    <row r="9" spans="1:5" ht="16.5" customHeight="1" x14ac:dyDescent="0.3">
      <c r="A9" s="554" t="s">
        <v>10</v>
      </c>
      <c r="B9" s="555" t="s">
        <v>11</v>
      </c>
      <c r="C9" s="554" t="s">
        <v>12</v>
      </c>
      <c r="D9" s="554" t="s">
        <v>13</v>
      </c>
      <c r="E9" s="554" t="s">
        <v>14</v>
      </c>
    </row>
    <row r="10" spans="1:5" ht="16.5" customHeight="1" x14ac:dyDescent="0.3">
      <c r="A10" s="556">
        <v>1</v>
      </c>
      <c r="B10" s="557">
        <v>22687612</v>
      </c>
      <c r="C10" s="557">
        <v>30300</v>
      </c>
      <c r="D10" s="558">
        <v>1</v>
      </c>
      <c r="E10" s="559">
        <v>16.5</v>
      </c>
    </row>
    <row r="11" spans="1:5" ht="16.5" customHeight="1" x14ac:dyDescent="0.3">
      <c r="A11" s="556">
        <v>2</v>
      </c>
      <c r="B11" s="557">
        <v>22582938</v>
      </c>
      <c r="C11" s="557">
        <v>30212.1</v>
      </c>
      <c r="D11" s="558">
        <v>1</v>
      </c>
      <c r="E11" s="558">
        <v>16.5</v>
      </c>
    </row>
    <row r="12" spans="1:5" ht="16.5" customHeight="1" x14ac:dyDescent="0.3">
      <c r="A12" s="556">
        <v>3</v>
      </c>
      <c r="B12" s="557">
        <v>22553461</v>
      </c>
      <c r="C12" s="557">
        <v>30654.3</v>
      </c>
      <c r="D12" s="558">
        <v>1</v>
      </c>
      <c r="E12" s="558">
        <v>16.600000000000001</v>
      </c>
    </row>
    <row r="13" spans="1:5" ht="16.5" customHeight="1" x14ac:dyDescent="0.3">
      <c r="A13" s="556">
        <v>4</v>
      </c>
      <c r="B13" s="557">
        <v>22505051</v>
      </c>
      <c r="C13" s="557">
        <v>30326.3</v>
      </c>
      <c r="D13" s="558">
        <v>1</v>
      </c>
      <c r="E13" s="558">
        <v>16.600000000000001</v>
      </c>
    </row>
    <row r="14" spans="1:5" ht="16.5" customHeight="1" x14ac:dyDescent="0.3">
      <c r="A14" s="556">
        <v>5</v>
      </c>
      <c r="B14" s="557">
        <v>22395499</v>
      </c>
      <c r="C14" s="557">
        <v>30986.6</v>
      </c>
      <c r="D14" s="558">
        <v>1</v>
      </c>
      <c r="E14" s="558">
        <v>16.600000000000001</v>
      </c>
    </row>
    <row r="15" spans="1:5" ht="16.5" customHeight="1" x14ac:dyDescent="0.3">
      <c r="A15" s="556">
        <v>6</v>
      </c>
      <c r="B15" s="560">
        <v>22345687</v>
      </c>
      <c r="C15" s="560">
        <v>31142.9</v>
      </c>
      <c r="D15" s="561">
        <v>1</v>
      </c>
      <c r="E15" s="561">
        <v>16.600000000000001</v>
      </c>
    </row>
    <row r="16" spans="1:5" ht="16.5" customHeight="1" x14ac:dyDescent="0.3">
      <c r="A16" s="562" t="s">
        <v>15</v>
      </c>
      <c r="B16" s="563">
        <f>AVERAGE(B10:B15)</f>
        <v>22511708</v>
      </c>
      <c r="C16" s="564">
        <f>AVERAGE(C10:C15)</f>
        <v>30603.699999999997</v>
      </c>
      <c r="D16" s="565">
        <f>AVERAGE(D10:D15)</f>
        <v>1</v>
      </c>
      <c r="E16" s="565">
        <f>AVERAGE(E10:E15)</f>
        <v>16.566666666666666</v>
      </c>
    </row>
    <row r="17" spans="1:5" ht="16.5" customHeight="1" x14ac:dyDescent="0.3">
      <c r="A17" s="566" t="s">
        <v>16</v>
      </c>
      <c r="B17" s="567">
        <f>(STDEV(B10:B15)/B16)</f>
        <v>5.5791160830167231E-3</v>
      </c>
      <c r="C17" s="568"/>
      <c r="D17" s="568"/>
      <c r="E17" s="569"/>
    </row>
    <row r="18" spans="1:5" s="543" customFormat="1" ht="16.5" customHeight="1" x14ac:dyDescent="0.3">
      <c r="A18" s="570" t="s">
        <v>17</v>
      </c>
      <c r="B18" s="571">
        <f>COUNT(B10:B15)</f>
        <v>6</v>
      </c>
      <c r="C18" s="572"/>
      <c r="D18" s="573"/>
      <c r="E18" s="574"/>
    </row>
    <row r="19" spans="1:5" s="543" customFormat="1" ht="15.75" customHeight="1" x14ac:dyDescent="0.25">
      <c r="A19" s="548"/>
      <c r="B19" s="548"/>
      <c r="C19" s="548"/>
      <c r="D19" s="548"/>
      <c r="E19" s="548"/>
    </row>
    <row r="20" spans="1:5" s="543" customFormat="1" ht="16.5" customHeight="1" x14ac:dyDescent="0.3">
      <c r="A20" s="549" t="s">
        <v>18</v>
      </c>
      <c r="B20" s="575" t="s">
        <v>19</v>
      </c>
      <c r="C20" s="576"/>
      <c r="D20" s="576"/>
      <c r="E20" s="576"/>
    </row>
    <row r="21" spans="1:5" ht="16.5" customHeight="1" x14ac:dyDescent="0.3">
      <c r="A21" s="549"/>
      <c r="B21" s="575" t="s">
        <v>20</v>
      </c>
      <c r="C21" s="576"/>
      <c r="D21" s="576"/>
      <c r="E21" s="576"/>
    </row>
    <row r="22" spans="1:5" ht="16.5" customHeight="1" x14ac:dyDescent="0.3">
      <c r="A22" s="549"/>
      <c r="B22" s="575" t="s">
        <v>21</v>
      </c>
      <c r="C22" s="576"/>
      <c r="D22" s="576"/>
      <c r="E22" s="576"/>
    </row>
    <row r="23" spans="1:5" ht="15.75" customHeight="1" x14ac:dyDescent="0.25">
      <c r="A23" s="548"/>
      <c r="B23" s="548"/>
      <c r="C23" s="548"/>
      <c r="D23" s="548"/>
      <c r="E23" s="548"/>
    </row>
    <row r="24" spans="1:5" ht="16.5" customHeight="1" x14ac:dyDescent="0.3">
      <c r="A24" s="544" t="s">
        <v>1</v>
      </c>
      <c r="B24" s="545" t="s">
        <v>22</v>
      </c>
    </row>
    <row r="25" spans="1:5" ht="16.5" customHeight="1" x14ac:dyDescent="0.3">
      <c r="A25" s="549" t="s">
        <v>4</v>
      </c>
      <c r="B25" s="577" t="str">
        <f>B4</f>
        <v>Tenofovir DF</v>
      </c>
      <c r="C25" s="548"/>
      <c r="D25" s="548"/>
      <c r="E25" s="548"/>
    </row>
    <row r="26" spans="1:5" ht="16.5" customHeight="1" x14ac:dyDescent="0.3">
      <c r="A26" s="549" t="s">
        <v>6</v>
      </c>
      <c r="B26" s="550">
        <v>98.8</v>
      </c>
      <c r="C26" s="548"/>
      <c r="D26" s="548"/>
      <c r="E26" s="548"/>
    </row>
    <row r="27" spans="1:5" ht="16.5" customHeight="1" x14ac:dyDescent="0.3">
      <c r="A27" s="546" t="s">
        <v>7</v>
      </c>
      <c r="B27" s="550">
        <f>'Tenofovir Disoproxil Fumarate'!D96</f>
        <v>15.07</v>
      </c>
      <c r="C27" s="548"/>
      <c r="D27" s="548"/>
      <c r="E27" s="548"/>
    </row>
    <row r="28" spans="1:5" ht="16.5" customHeight="1" x14ac:dyDescent="0.3">
      <c r="A28" s="546" t="s">
        <v>8</v>
      </c>
      <c r="B28" s="552">
        <f>B27/25*10/20</f>
        <v>0.3014</v>
      </c>
      <c r="C28" s="548"/>
      <c r="D28" s="548"/>
      <c r="E28" s="548"/>
    </row>
    <row r="29" spans="1:5" ht="15.75" customHeight="1" x14ac:dyDescent="0.25">
      <c r="A29" s="548"/>
      <c r="B29" s="548"/>
      <c r="C29" s="548"/>
      <c r="D29" s="548"/>
      <c r="E29" s="548"/>
    </row>
    <row r="30" spans="1:5" ht="16.5" customHeight="1" x14ac:dyDescent="0.3">
      <c r="A30" s="554" t="s">
        <v>10</v>
      </c>
      <c r="B30" s="555" t="s">
        <v>11</v>
      </c>
      <c r="C30" s="554" t="s">
        <v>12</v>
      </c>
      <c r="D30" s="554" t="s">
        <v>13</v>
      </c>
      <c r="E30" s="554" t="s">
        <v>14</v>
      </c>
    </row>
    <row r="31" spans="1:5" ht="16.5" customHeight="1" x14ac:dyDescent="0.3">
      <c r="A31" s="556">
        <v>1</v>
      </c>
      <c r="B31" s="557">
        <v>5987820</v>
      </c>
      <c r="C31" s="557">
        <v>211627.3</v>
      </c>
      <c r="D31" s="558">
        <v>1.2</v>
      </c>
      <c r="E31" s="559">
        <v>17</v>
      </c>
    </row>
    <row r="32" spans="1:5" ht="16.5" customHeight="1" x14ac:dyDescent="0.3">
      <c r="A32" s="556">
        <v>2</v>
      </c>
      <c r="B32" s="557">
        <v>6215959</v>
      </c>
      <c r="C32" s="557">
        <v>212868.5</v>
      </c>
      <c r="D32" s="558">
        <v>1.2</v>
      </c>
      <c r="E32" s="558">
        <v>17</v>
      </c>
    </row>
    <row r="33" spans="1:7" ht="16.5" customHeight="1" x14ac:dyDescent="0.3">
      <c r="A33" s="556">
        <v>3</v>
      </c>
      <c r="B33" s="557">
        <v>6146291</v>
      </c>
      <c r="C33" s="557">
        <v>213632.3</v>
      </c>
      <c r="D33" s="558">
        <v>1.2</v>
      </c>
      <c r="E33" s="558">
        <v>17</v>
      </c>
    </row>
    <row r="34" spans="1:7" ht="16.5" customHeight="1" x14ac:dyDescent="0.3">
      <c r="A34" s="556">
        <v>4</v>
      </c>
      <c r="B34" s="557">
        <v>6117690</v>
      </c>
      <c r="C34" s="557">
        <v>211832.5</v>
      </c>
      <c r="D34" s="558">
        <v>1.2</v>
      </c>
      <c r="E34" s="558">
        <v>17</v>
      </c>
    </row>
    <row r="35" spans="1:7" ht="16.5" customHeight="1" x14ac:dyDescent="0.3">
      <c r="A35" s="556">
        <v>5</v>
      </c>
      <c r="B35" s="557">
        <v>6046996</v>
      </c>
      <c r="C35" s="557">
        <v>211255.5</v>
      </c>
      <c r="D35" s="558">
        <v>1.2</v>
      </c>
      <c r="E35" s="558">
        <v>17</v>
      </c>
    </row>
    <row r="36" spans="1:7" ht="16.5" customHeight="1" x14ac:dyDescent="0.3">
      <c r="A36" s="556">
        <v>6</v>
      </c>
      <c r="B36" s="560">
        <v>6022405</v>
      </c>
      <c r="C36" s="560">
        <v>212011.9</v>
      </c>
      <c r="D36" s="561">
        <v>1.2</v>
      </c>
      <c r="E36" s="561">
        <v>17.02</v>
      </c>
    </row>
    <row r="37" spans="1:7" ht="16.5" customHeight="1" x14ac:dyDescent="0.3">
      <c r="A37" s="562" t="s">
        <v>15</v>
      </c>
      <c r="B37" s="563">
        <f>AVERAGE(B31:B36)</f>
        <v>6089526.833333333</v>
      </c>
      <c r="C37" s="564">
        <f>AVERAGE(C31:C36)</f>
        <v>212204.66666666666</v>
      </c>
      <c r="D37" s="565">
        <f>AVERAGE(D31:D36)</f>
        <v>1.2</v>
      </c>
      <c r="E37" s="565">
        <f>AVERAGE(E31:E36)</f>
        <v>17.003333333333334</v>
      </c>
    </row>
    <row r="38" spans="1:7" ht="16.5" customHeight="1" x14ac:dyDescent="0.3">
      <c r="A38" s="566" t="s">
        <v>16</v>
      </c>
      <c r="B38" s="567">
        <f>(STDEV(B31:B36)/B37)</f>
        <v>1.4061164205120442E-2</v>
      </c>
      <c r="C38" s="568"/>
      <c r="D38" s="568"/>
      <c r="E38" s="569"/>
    </row>
    <row r="39" spans="1:7" s="543" customFormat="1" ht="16.5" customHeight="1" x14ac:dyDescent="0.3">
      <c r="A39" s="570" t="s">
        <v>17</v>
      </c>
      <c r="B39" s="571">
        <f>COUNT(B31:B36)</f>
        <v>6</v>
      </c>
      <c r="C39" s="572"/>
      <c r="D39" s="573"/>
      <c r="E39" s="574"/>
    </row>
    <row r="40" spans="1:7" s="543" customFormat="1" ht="15.75" customHeight="1" x14ac:dyDescent="0.25">
      <c r="A40" s="548"/>
      <c r="B40" s="548"/>
      <c r="C40" s="548"/>
      <c r="D40" s="548"/>
      <c r="E40" s="548"/>
    </row>
    <row r="41" spans="1:7" s="543" customFormat="1" ht="16.5" customHeight="1" x14ac:dyDescent="0.3">
      <c r="A41" s="549" t="s">
        <v>18</v>
      </c>
      <c r="B41" s="575" t="s">
        <v>19</v>
      </c>
      <c r="C41" s="576"/>
      <c r="D41" s="576"/>
      <c r="E41" s="576"/>
    </row>
    <row r="42" spans="1:7" ht="16.5" customHeight="1" x14ac:dyDescent="0.3">
      <c r="A42" s="549"/>
      <c r="B42" s="575" t="s">
        <v>20</v>
      </c>
      <c r="C42" s="576"/>
      <c r="D42" s="576"/>
      <c r="E42" s="576"/>
    </row>
    <row r="43" spans="1:7" ht="16.5" customHeight="1" x14ac:dyDescent="0.3">
      <c r="A43" s="549"/>
      <c r="B43" s="575" t="s">
        <v>21</v>
      </c>
      <c r="C43" s="576"/>
      <c r="D43" s="576"/>
      <c r="E43" s="576"/>
    </row>
    <row r="44" spans="1:7" ht="14.25" customHeight="1" thickBot="1" x14ac:dyDescent="0.3">
      <c r="A44" s="578"/>
      <c r="B44" s="579"/>
      <c r="D44" s="580"/>
      <c r="F44" s="581"/>
      <c r="G44" s="581"/>
    </row>
    <row r="45" spans="1:7" ht="15" customHeight="1" x14ac:dyDescent="0.3">
      <c r="B45" s="683" t="s">
        <v>23</v>
      </c>
      <c r="C45" s="683"/>
      <c r="E45" s="582" t="s">
        <v>24</v>
      </c>
      <c r="F45" s="583"/>
      <c r="G45" s="582" t="s">
        <v>25</v>
      </c>
    </row>
    <row r="46" spans="1:7" ht="15" customHeight="1" x14ac:dyDescent="0.3">
      <c r="A46" s="584" t="s">
        <v>26</v>
      </c>
      <c r="B46" s="585"/>
      <c r="C46" s="585"/>
      <c r="E46" s="585"/>
      <c r="G46" s="585"/>
    </row>
    <row r="47" spans="1:7" ht="15" customHeight="1" x14ac:dyDescent="0.3">
      <c r="A47" s="584" t="s">
        <v>27</v>
      </c>
      <c r="B47" s="586"/>
      <c r="C47" s="586"/>
      <c r="E47" s="586"/>
      <c r="G47" s="58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6" zoomScale="70" zoomScaleNormal="60" zoomScaleSheetLayoutView="70" zoomScalePageLayoutView="43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 x14ac:dyDescent="0.25">
      <c r="A1" s="687" t="s">
        <v>42</v>
      </c>
      <c r="B1" s="687"/>
      <c r="C1" s="687"/>
      <c r="D1" s="687"/>
      <c r="E1" s="687"/>
      <c r="F1" s="687"/>
      <c r="G1" s="687"/>
      <c r="H1" s="687"/>
      <c r="I1" s="687"/>
    </row>
    <row r="2" spans="1:9" ht="18.75" customHeight="1" x14ac:dyDescent="0.25">
      <c r="A2" s="687"/>
      <c r="B2" s="687"/>
      <c r="C2" s="687"/>
      <c r="D2" s="687"/>
      <c r="E2" s="687"/>
      <c r="F2" s="687"/>
      <c r="G2" s="687"/>
      <c r="H2" s="687"/>
      <c r="I2" s="687"/>
    </row>
    <row r="3" spans="1:9" ht="18.75" customHeight="1" x14ac:dyDescent="0.25">
      <c r="A3" s="687"/>
      <c r="B3" s="687"/>
      <c r="C3" s="687"/>
      <c r="D3" s="687"/>
      <c r="E3" s="687"/>
      <c r="F3" s="687"/>
      <c r="G3" s="687"/>
      <c r="H3" s="687"/>
      <c r="I3" s="687"/>
    </row>
    <row r="4" spans="1:9" ht="18.75" customHeight="1" x14ac:dyDescent="0.25">
      <c r="A4" s="687"/>
      <c r="B4" s="687"/>
      <c r="C4" s="687"/>
      <c r="D4" s="687"/>
      <c r="E4" s="687"/>
      <c r="F4" s="687"/>
      <c r="G4" s="687"/>
      <c r="H4" s="687"/>
      <c r="I4" s="687"/>
    </row>
    <row r="5" spans="1:9" ht="18.75" customHeight="1" x14ac:dyDescent="0.25">
      <c r="A5" s="687"/>
      <c r="B5" s="687"/>
      <c r="C5" s="687"/>
      <c r="D5" s="687"/>
      <c r="E5" s="687"/>
      <c r="F5" s="687"/>
      <c r="G5" s="687"/>
      <c r="H5" s="687"/>
      <c r="I5" s="687"/>
    </row>
    <row r="6" spans="1:9" ht="18.75" customHeight="1" x14ac:dyDescent="0.25">
      <c r="A6" s="687"/>
      <c r="B6" s="687"/>
      <c r="C6" s="687"/>
      <c r="D6" s="687"/>
      <c r="E6" s="687"/>
      <c r="F6" s="687"/>
      <c r="G6" s="687"/>
      <c r="H6" s="687"/>
      <c r="I6" s="687"/>
    </row>
    <row r="7" spans="1:9" ht="18.75" customHeight="1" x14ac:dyDescent="0.25">
      <c r="A7" s="687"/>
      <c r="B7" s="687"/>
      <c r="C7" s="687"/>
      <c r="D7" s="687"/>
      <c r="E7" s="687"/>
      <c r="F7" s="687"/>
      <c r="G7" s="687"/>
      <c r="H7" s="687"/>
      <c r="I7" s="687"/>
    </row>
    <row r="8" spans="1:9" x14ac:dyDescent="0.25">
      <c r="A8" s="688" t="s">
        <v>43</v>
      </c>
      <c r="B8" s="688"/>
      <c r="C8" s="688"/>
      <c r="D8" s="688"/>
      <c r="E8" s="688"/>
      <c r="F8" s="688"/>
      <c r="G8" s="688"/>
      <c r="H8" s="688"/>
      <c r="I8" s="688"/>
    </row>
    <row r="9" spans="1:9" x14ac:dyDescent="0.25">
      <c r="A9" s="688"/>
      <c r="B9" s="688"/>
      <c r="C9" s="688"/>
      <c r="D9" s="688"/>
      <c r="E9" s="688"/>
      <c r="F9" s="688"/>
      <c r="G9" s="688"/>
      <c r="H9" s="688"/>
      <c r="I9" s="688"/>
    </row>
    <row r="10" spans="1:9" x14ac:dyDescent="0.25">
      <c r="A10" s="688"/>
      <c r="B10" s="688"/>
      <c r="C10" s="688"/>
      <c r="D10" s="688"/>
      <c r="E10" s="688"/>
      <c r="F10" s="688"/>
      <c r="G10" s="688"/>
      <c r="H10" s="688"/>
      <c r="I10" s="688"/>
    </row>
    <row r="11" spans="1:9" x14ac:dyDescent="0.25">
      <c r="A11" s="688"/>
      <c r="B11" s="688"/>
      <c r="C11" s="688"/>
      <c r="D11" s="688"/>
      <c r="E11" s="688"/>
      <c r="F11" s="688"/>
      <c r="G11" s="688"/>
      <c r="H11" s="688"/>
      <c r="I11" s="688"/>
    </row>
    <row r="12" spans="1:9" x14ac:dyDescent="0.25">
      <c r="A12" s="688"/>
      <c r="B12" s="688"/>
      <c r="C12" s="688"/>
      <c r="D12" s="688"/>
      <c r="E12" s="688"/>
      <c r="F12" s="688"/>
      <c r="G12" s="688"/>
      <c r="H12" s="688"/>
      <c r="I12" s="688"/>
    </row>
    <row r="13" spans="1:9" x14ac:dyDescent="0.25">
      <c r="A13" s="688"/>
      <c r="B13" s="688"/>
      <c r="C13" s="688"/>
      <c r="D13" s="688"/>
      <c r="E13" s="688"/>
      <c r="F13" s="688"/>
      <c r="G13" s="688"/>
      <c r="H13" s="688"/>
      <c r="I13" s="688"/>
    </row>
    <row r="14" spans="1:9" x14ac:dyDescent="0.25">
      <c r="A14" s="688"/>
      <c r="B14" s="688"/>
      <c r="C14" s="688"/>
      <c r="D14" s="688"/>
      <c r="E14" s="688"/>
      <c r="F14" s="688"/>
      <c r="G14" s="688"/>
      <c r="H14" s="688"/>
      <c r="I14" s="688"/>
    </row>
    <row r="15" spans="1:9" ht="19.5" customHeight="1" thickBot="1" x14ac:dyDescent="0.35">
      <c r="A15" s="5"/>
    </row>
    <row r="16" spans="1:9" ht="19.5" customHeight="1" thickBot="1" x14ac:dyDescent="0.35">
      <c r="A16" s="689" t="s">
        <v>28</v>
      </c>
      <c r="B16" s="690"/>
      <c r="C16" s="690"/>
      <c r="D16" s="690"/>
      <c r="E16" s="690"/>
      <c r="F16" s="690"/>
      <c r="G16" s="690"/>
      <c r="H16" s="691"/>
    </row>
    <row r="17" spans="1:14" ht="20.25" customHeight="1" x14ac:dyDescent="0.25">
      <c r="A17" s="692" t="s">
        <v>44</v>
      </c>
      <c r="B17" s="692"/>
      <c r="C17" s="692"/>
      <c r="D17" s="692"/>
      <c r="E17" s="692"/>
      <c r="F17" s="692"/>
      <c r="G17" s="692"/>
      <c r="H17" s="692"/>
    </row>
    <row r="18" spans="1:14" ht="26.25" customHeight="1" x14ac:dyDescent="0.4">
      <c r="A18" s="6" t="s">
        <v>30</v>
      </c>
      <c r="B18" s="693" t="s">
        <v>122</v>
      </c>
      <c r="C18" s="693"/>
      <c r="D18" s="7"/>
      <c r="E18" s="8"/>
      <c r="F18" s="9"/>
      <c r="G18" s="9"/>
      <c r="H18" s="9"/>
    </row>
    <row r="19" spans="1:14" ht="26.25" customHeight="1" x14ac:dyDescent="0.4">
      <c r="A19" s="6" t="s">
        <v>31</v>
      </c>
      <c r="B19" s="498" t="s">
        <v>130</v>
      </c>
      <c r="C19" s="9">
        <v>29</v>
      </c>
      <c r="D19" s="9"/>
      <c r="E19" s="9"/>
      <c r="F19" s="9"/>
      <c r="G19" s="9"/>
      <c r="H19" s="9"/>
    </row>
    <row r="20" spans="1:14" ht="26.25" customHeight="1" x14ac:dyDescent="0.4">
      <c r="A20" s="6" t="s">
        <v>32</v>
      </c>
      <c r="B20" s="694" t="s">
        <v>123</v>
      </c>
      <c r="C20" s="694"/>
      <c r="D20" s="9"/>
      <c r="E20" s="9"/>
      <c r="F20" s="9"/>
      <c r="G20" s="9"/>
      <c r="H20" s="9"/>
    </row>
    <row r="21" spans="1:14" ht="26.25" customHeight="1" x14ac:dyDescent="0.4">
      <c r="A21" s="6" t="s">
        <v>33</v>
      </c>
      <c r="B21" s="694" t="s">
        <v>9</v>
      </c>
      <c r="C21" s="694"/>
      <c r="D21" s="694"/>
      <c r="E21" s="694"/>
      <c r="F21" s="694"/>
      <c r="G21" s="694"/>
      <c r="H21" s="694"/>
      <c r="I21" s="10"/>
    </row>
    <row r="22" spans="1:14" ht="26.25" customHeight="1" x14ac:dyDescent="0.4">
      <c r="A22" s="6" t="s">
        <v>34</v>
      </c>
      <c r="B22" s="11">
        <v>42591</v>
      </c>
      <c r="C22" s="9"/>
      <c r="D22" s="9"/>
      <c r="E22" s="9"/>
      <c r="F22" s="9"/>
      <c r="G22" s="9"/>
      <c r="H22" s="9"/>
    </row>
    <row r="23" spans="1:14" ht="26.25" customHeight="1" x14ac:dyDescent="0.4">
      <c r="A23" s="6" t="s">
        <v>35</v>
      </c>
      <c r="B23" s="11">
        <v>42643</v>
      </c>
      <c r="C23" s="9"/>
      <c r="D23" s="9"/>
      <c r="E23" s="9"/>
      <c r="F23" s="9"/>
      <c r="G23" s="9"/>
      <c r="H23" s="9"/>
    </row>
    <row r="24" spans="1:14" ht="18.75" x14ac:dyDescent="0.3">
      <c r="A24" s="6"/>
      <c r="B24" s="12"/>
    </row>
    <row r="25" spans="1:14" ht="18.75" x14ac:dyDescent="0.3">
      <c r="A25" s="13" t="s">
        <v>1</v>
      </c>
      <c r="B25" s="12"/>
    </row>
    <row r="26" spans="1:14" ht="26.25" customHeight="1" x14ac:dyDescent="0.4">
      <c r="A26" s="14" t="s">
        <v>4</v>
      </c>
      <c r="B26" s="693" t="s">
        <v>124</v>
      </c>
      <c r="C26" s="693"/>
    </row>
    <row r="27" spans="1:14" ht="26.25" customHeight="1" x14ac:dyDescent="0.4">
      <c r="A27" s="15" t="s">
        <v>45</v>
      </c>
      <c r="B27" s="695" t="s">
        <v>125</v>
      </c>
      <c r="C27" s="695"/>
    </row>
    <row r="28" spans="1:14" ht="27" customHeight="1" thickBot="1" x14ac:dyDescent="0.45">
      <c r="A28" s="15" t="s">
        <v>6</v>
      </c>
      <c r="B28" s="16">
        <v>98.8</v>
      </c>
    </row>
    <row r="29" spans="1:14" s="3" customFormat="1" ht="27" customHeight="1" thickBot="1" x14ac:dyDescent="0.45">
      <c r="A29" s="15" t="s">
        <v>46</v>
      </c>
      <c r="B29" s="17">
        <v>0</v>
      </c>
      <c r="C29" s="696" t="s">
        <v>47</v>
      </c>
      <c r="D29" s="697"/>
      <c r="E29" s="697"/>
      <c r="F29" s="697"/>
      <c r="G29" s="698"/>
      <c r="I29" s="18"/>
      <c r="J29" s="18"/>
      <c r="K29" s="18"/>
      <c r="L29" s="18"/>
    </row>
    <row r="30" spans="1:14" s="3" customFormat="1" ht="19.5" customHeight="1" thickBot="1" x14ac:dyDescent="0.35">
      <c r="A30" s="15" t="s">
        <v>48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 x14ac:dyDescent="0.45">
      <c r="A31" s="15" t="s">
        <v>49</v>
      </c>
      <c r="B31" s="22">
        <v>1</v>
      </c>
      <c r="C31" s="684" t="s">
        <v>50</v>
      </c>
      <c r="D31" s="685"/>
      <c r="E31" s="685"/>
      <c r="F31" s="685"/>
      <c r="G31" s="685"/>
      <c r="H31" s="686"/>
      <c r="I31" s="18"/>
      <c r="J31" s="18"/>
      <c r="K31" s="18"/>
      <c r="L31" s="18"/>
    </row>
    <row r="32" spans="1:14" s="3" customFormat="1" ht="27" customHeight="1" thickBot="1" x14ac:dyDescent="0.45">
      <c r="A32" s="15" t="s">
        <v>51</v>
      </c>
      <c r="B32" s="22">
        <v>1</v>
      </c>
      <c r="C32" s="684" t="s">
        <v>52</v>
      </c>
      <c r="D32" s="685"/>
      <c r="E32" s="685"/>
      <c r="F32" s="685"/>
      <c r="G32" s="685"/>
      <c r="H32" s="686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 x14ac:dyDescent="0.3">
      <c r="A34" s="15" t="s">
        <v>53</v>
      </c>
      <c r="B34" s="27">
        <f>B31/B32</f>
        <v>1</v>
      </c>
      <c r="C34" s="5" t="s">
        <v>54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 x14ac:dyDescent="0.35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 x14ac:dyDescent="0.45">
      <c r="A36" s="28" t="s">
        <v>55</v>
      </c>
      <c r="B36" s="29">
        <v>50</v>
      </c>
      <c r="C36" s="5"/>
      <c r="D36" s="699" t="s">
        <v>56</v>
      </c>
      <c r="E36" s="700"/>
      <c r="F36" s="699" t="s">
        <v>57</v>
      </c>
      <c r="G36" s="701"/>
      <c r="J36" s="18"/>
      <c r="K36" s="18"/>
      <c r="L36" s="23"/>
      <c r="M36" s="23"/>
      <c r="N36" s="24"/>
    </row>
    <row r="37" spans="1:14" s="3" customFormat="1" ht="27" customHeight="1" thickBot="1" x14ac:dyDescent="0.45">
      <c r="A37" s="30" t="s">
        <v>58</v>
      </c>
      <c r="B37" s="31">
        <v>10</v>
      </c>
      <c r="C37" s="32" t="s">
        <v>59</v>
      </c>
      <c r="D37" s="33" t="s">
        <v>60</v>
      </c>
      <c r="E37" s="34" t="s">
        <v>61</v>
      </c>
      <c r="F37" s="33" t="s">
        <v>60</v>
      </c>
      <c r="G37" s="35" t="s">
        <v>61</v>
      </c>
      <c r="I37" s="36" t="s">
        <v>62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63</v>
      </c>
      <c r="B38" s="31">
        <v>25</v>
      </c>
      <c r="C38" s="37">
        <v>1</v>
      </c>
      <c r="D38" s="38">
        <v>22309446</v>
      </c>
      <c r="E38" s="39">
        <f>IF(ISBLANK(D38),"-",$D$48/$D$45*D38)</f>
        <v>23262785.986786492</v>
      </c>
      <c r="F38" s="38">
        <v>23897052</v>
      </c>
      <c r="G38" s="40">
        <f>IF(ISBLANK(F38),"-",$D$48/$F$45*F38)</f>
        <v>23391972.529150583</v>
      </c>
      <c r="I38" s="41"/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64</v>
      </c>
      <c r="B39" s="31">
        <v>1</v>
      </c>
      <c r="C39" s="42">
        <v>2</v>
      </c>
      <c r="D39" s="43">
        <v>22168233</v>
      </c>
      <c r="E39" s="44">
        <f>IF(ISBLANK(D39),"-",$D$48/$D$45*D39)</f>
        <v>23115538.592227612</v>
      </c>
      <c r="F39" s="43">
        <v>23885006</v>
      </c>
      <c r="G39" s="45">
        <f>IF(ISBLANK(F39),"-",$D$48/$F$45*F39)</f>
        <v>23380181.129061308</v>
      </c>
      <c r="I39" s="702">
        <f>ABS((F43/D43*D42)-F42)/D42</f>
        <v>8.3373037627802529E-3</v>
      </c>
      <c r="J39" s="18"/>
      <c r="K39" s="18"/>
      <c r="L39" s="23"/>
      <c r="M39" s="23"/>
      <c r="N39" s="24"/>
    </row>
    <row r="40" spans="1:14" ht="26.25" customHeight="1" x14ac:dyDescent="0.4">
      <c r="A40" s="30" t="s">
        <v>65</v>
      </c>
      <c r="B40" s="31">
        <v>1</v>
      </c>
      <c r="C40" s="42">
        <v>3</v>
      </c>
      <c r="D40" s="43">
        <v>22115248</v>
      </c>
      <c r="E40" s="44">
        <f>IF(ISBLANK(D40),"-",$D$48/$D$45*D40)</f>
        <v>23060289.406949326</v>
      </c>
      <c r="F40" s="43">
        <v>23711080</v>
      </c>
      <c r="G40" s="45">
        <f>IF(ISBLANK(F40),"-",$D$48/$F$45*F40)</f>
        <v>23209931.166258156</v>
      </c>
      <c r="I40" s="702"/>
      <c r="L40" s="23"/>
      <c r="M40" s="23"/>
      <c r="N40" s="5"/>
    </row>
    <row r="41" spans="1:14" ht="27" customHeight="1" thickBot="1" x14ac:dyDescent="0.45">
      <c r="A41" s="30" t="s">
        <v>66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 x14ac:dyDescent="0.45">
      <c r="A42" s="30" t="s">
        <v>67</v>
      </c>
      <c r="B42" s="31">
        <v>1</v>
      </c>
      <c r="C42" s="51" t="s">
        <v>68</v>
      </c>
      <c r="D42" s="52">
        <f>AVERAGE(D38:D41)</f>
        <v>22197642.333333332</v>
      </c>
      <c r="E42" s="53">
        <f>AVERAGE(E38:E41)</f>
        <v>23146204.661987811</v>
      </c>
      <c r="F42" s="52">
        <f>AVERAGE(F38:F41)</f>
        <v>23831046</v>
      </c>
      <c r="G42" s="54">
        <f>AVERAGE(G38:G41)</f>
        <v>23327361.608156681</v>
      </c>
      <c r="H42" s="4"/>
    </row>
    <row r="43" spans="1:14" ht="26.25" customHeight="1" x14ac:dyDescent="0.4">
      <c r="A43" s="30" t="s">
        <v>69</v>
      </c>
      <c r="B43" s="31">
        <v>1</v>
      </c>
      <c r="C43" s="55" t="s">
        <v>70</v>
      </c>
      <c r="D43" s="56">
        <v>14.56</v>
      </c>
      <c r="E43" s="5"/>
      <c r="F43" s="56">
        <v>15.51</v>
      </c>
      <c r="H43" s="4"/>
    </row>
    <row r="44" spans="1:14" ht="26.25" customHeight="1" x14ac:dyDescent="0.4">
      <c r="A44" s="30" t="s">
        <v>71</v>
      </c>
      <c r="B44" s="31">
        <v>1</v>
      </c>
      <c r="C44" s="57" t="s">
        <v>72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 x14ac:dyDescent="0.35">
      <c r="A45" s="30" t="s">
        <v>73</v>
      </c>
      <c r="B45" s="42">
        <f>(B44/B43)*(B42/B41)*(B40/B39)*(B38/B37)*B36</f>
        <v>125</v>
      </c>
      <c r="C45" s="57" t="s">
        <v>74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 x14ac:dyDescent="0.35">
      <c r="A46" s="703" t="s">
        <v>75</v>
      </c>
      <c r="B46" s="704"/>
      <c r="C46" s="57" t="s">
        <v>76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 x14ac:dyDescent="0.45">
      <c r="A47" s="705"/>
      <c r="B47" s="706"/>
      <c r="C47" s="65" t="s">
        <v>77</v>
      </c>
      <c r="D47" s="66">
        <v>0.12</v>
      </c>
      <c r="E47" s="67"/>
      <c r="F47" s="63"/>
      <c r="H47" s="4"/>
    </row>
    <row r="48" spans="1:14" ht="18.75" x14ac:dyDescent="0.3">
      <c r="C48" s="68" t="s">
        <v>78</v>
      </c>
      <c r="D48" s="60">
        <f>D47*$B$45</f>
        <v>15</v>
      </c>
      <c r="F48" s="69"/>
      <c r="H48" s="4"/>
    </row>
    <row r="49" spans="1:12" ht="19.5" customHeight="1" thickBot="1" x14ac:dyDescent="0.35">
      <c r="C49" s="70" t="s">
        <v>79</v>
      </c>
      <c r="D49" s="71">
        <f>D48/B34</f>
        <v>15</v>
      </c>
      <c r="F49" s="69"/>
      <c r="H49" s="4"/>
    </row>
    <row r="50" spans="1:12" ht="18.75" x14ac:dyDescent="0.3">
      <c r="C50" s="28" t="s">
        <v>80</v>
      </c>
      <c r="D50" s="72">
        <f>AVERAGE(E38:E41,G38:G41)</f>
        <v>23236783.135072246</v>
      </c>
      <c r="F50" s="73"/>
      <c r="H50" s="4"/>
    </row>
    <row r="51" spans="1:12" ht="18.75" x14ac:dyDescent="0.3">
      <c r="C51" s="30" t="s">
        <v>81</v>
      </c>
      <c r="D51" s="74">
        <f>STDEV(E38:E41,G38:G41)/D50</f>
        <v>5.8342227576249775E-3</v>
      </c>
      <c r="F51" s="73"/>
      <c r="H51" s="4"/>
    </row>
    <row r="52" spans="1:12" ht="19.5" customHeight="1" thickBot="1" x14ac:dyDescent="0.35">
      <c r="C52" s="75" t="s">
        <v>17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82</v>
      </c>
    </row>
    <row r="55" spans="1:12" ht="18.75" x14ac:dyDescent="0.3">
      <c r="A55" s="5" t="s">
        <v>83</v>
      </c>
      <c r="B55" s="79" t="str">
        <f>B21</f>
        <v>Tenofovir Disoproxil Fumarate 300mg, Lamivudine 300mg, Efavirenz 600mg</v>
      </c>
    </row>
    <row r="56" spans="1:12" ht="26.25" customHeight="1" x14ac:dyDescent="0.4">
      <c r="A56" s="79" t="s">
        <v>84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 x14ac:dyDescent="0.3">
      <c r="A57" s="79" t="s">
        <v>85</v>
      </c>
      <c r="B57" s="81">
        <f>Uniformity!C46</f>
        <v>1899.8040000000001</v>
      </c>
      <c r="H57" s="59"/>
    </row>
    <row r="58" spans="1:12" ht="19.5" customHeight="1" thickBot="1" x14ac:dyDescent="0.35">
      <c r="H58" s="59"/>
    </row>
    <row r="59" spans="1:12" s="3" customFormat="1" ht="27" customHeight="1" thickBot="1" x14ac:dyDescent="0.45">
      <c r="A59" s="28" t="s">
        <v>86</v>
      </c>
      <c r="B59" s="29">
        <v>100</v>
      </c>
      <c r="C59" s="5"/>
      <c r="D59" s="82" t="s">
        <v>87</v>
      </c>
      <c r="E59" s="83" t="s">
        <v>59</v>
      </c>
      <c r="F59" s="83" t="s">
        <v>60</v>
      </c>
      <c r="G59" s="83" t="s">
        <v>88</v>
      </c>
      <c r="H59" s="32" t="s">
        <v>89</v>
      </c>
      <c r="L59" s="18"/>
    </row>
    <row r="60" spans="1:12" s="3" customFormat="1" ht="26.25" customHeight="1" x14ac:dyDescent="0.4">
      <c r="A60" s="30" t="s">
        <v>90</v>
      </c>
      <c r="B60" s="31">
        <v>4</v>
      </c>
      <c r="C60" s="707" t="s">
        <v>91</v>
      </c>
      <c r="D60" s="710">
        <v>893.36</v>
      </c>
      <c r="E60" s="84">
        <v>1</v>
      </c>
      <c r="F60" s="85"/>
      <c r="G60" s="86" t="str">
        <f>IF(ISBLANK(F60),"-",(F60/$D$50*$D$47*$B$68)*($B$57/$D$60))</f>
        <v>-</v>
      </c>
      <c r="H60" s="87" t="str">
        <f t="shared" ref="H60:H71" si="0">IF(ISBLANK(F60),"-",G60/$B$56)</f>
        <v>-</v>
      </c>
      <c r="L60" s="18"/>
    </row>
    <row r="61" spans="1:12" s="3" customFormat="1" ht="26.25" customHeight="1" x14ac:dyDescent="0.4">
      <c r="A61" s="30" t="s">
        <v>92</v>
      </c>
      <c r="B61" s="31">
        <v>50</v>
      </c>
      <c r="C61" s="708"/>
      <c r="D61" s="711"/>
      <c r="E61" s="88">
        <v>2</v>
      </c>
      <c r="F61" s="43"/>
      <c r="G61" s="89" t="str">
        <f>IF(ISBLANK(F61),"-",(F61/$D$50*$D$47*$B$68)*($B$57/$D$60))</f>
        <v>-</v>
      </c>
      <c r="H61" s="90" t="str">
        <f t="shared" si="0"/>
        <v>-</v>
      </c>
      <c r="L61" s="18"/>
    </row>
    <row r="62" spans="1:12" s="3" customFormat="1" ht="26.25" customHeight="1" x14ac:dyDescent="0.4">
      <c r="A62" s="30" t="s">
        <v>93</v>
      </c>
      <c r="B62" s="31">
        <v>1</v>
      </c>
      <c r="C62" s="708"/>
      <c r="D62" s="711"/>
      <c r="E62" s="88">
        <v>3</v>
      </c>
      <c r="F62" s="91"/>
      <c r="G62" s="89" t="str">
        <f>IF(ISBLANK(F62),"-",(F62/$D$50*$D$47*$B$68)*($B$57/$D$60))</f>
        <v>-</v>
      </c>
      <c r="H62" s="90" t="str">
        <f t="shared" si="0"/>
        <v>-</v>
      </c>
      <c r="L62" s="18"/>
    </row>
    <row r="63" spans="1:12" ht="27" customHeight="1" thickBot="1" x14ac:dyDescent="0.45">
      <c r="A63" s="30" t="s">
        <v>94</v>
      </c>
      <c r="B63" s="31">
        <v>1</v>
      </c>
      <c r="C63" s="709"/>
      <c r="D63" s="712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30" t="s">
        <v>95</v>
      </c>
      <c r="B64" s="31">
        <v>1</v>
      </c>
      <c r="C64" s="707" t="s">
        <v>96</v>
      </c>
      <c r="D64" s="710">
        <v>898.43</v>
      </c>
      <c r="E64" s="84">
        <v>1</v>
      </c>
      <c r="F64" s="85">
        <v>22613347</v>
      </c>
      <c r="G64" s="94">
        <f>IF(ISBLANK(F64),"-",(F64/$D$50*$D$47*$B$68)*($B$57/$D$64))</f>
        <v>308.67727219867777</v>
      </c>
      <c r="H64" s="95">
        <f t="shared" si="0"/>
        <v>1.0289242406622592</v>
      </c>
    </row>
    <row r="65" spans="1:8" ht="26.25" customHeight="1" x14ac:dyDescent="0.4">
      <c r="A65" s="30" t="s">
        <v>97</v>
      </c>
      <c r="B65" s="31">
        <v>1</v>
      </c>
      <c r="C65" s="708"/>
      <c r="D65" s="711"/>
      <c r="E65" s="88">
        <v>2</v>
      </c>
      <c r="F65" s="43">
        <v>22473587</v>
      </c>
      <c r="G65" s="96">
        <f>IF(ISBLANK(F65),"-",(F65/$D$50*$D$47*$B$68)*($B$57/$D$64))</f>
        <v>306.76951676722894</v>
      </c>
      <c r="H65" s="97">
        <f t="shared" si="0"/>
        <v>1.0225650558907631</v>
      </c>
    </row>
    <row r="66" spans="1:8" ht="26.25" customHeight="1" x14ac:dyDescent="0.4">
      <c r="A66" s="30" t="s">
        <v>98</v>
      </c>
      <c r="B66" s="31">
        <v>1</v>
      </c>
      <c r="C66" s="708"/>
      <c r="D66" s="711"/>
      <c r="E66" s="88">
        <v>3</v>
      </c>
      <c r="F66" s="43">
        <v>22288083</v>
      </c>
      <c r="G66" s="96">
        <f>IF(ISBLANK(F66),"-",(F66/$D$50*$D$47*$B$68)*($B$57/$D$64))</f>
        <v>304.23734544814272</v>
      </c>
      <c r="H66" s="97">
        <f t="shared" si="0"/>
        <v>1.0141244848271425</v>
      </c>
    </row>
    <row r="67" spans="1:8" ht="27" customHeight="1" thickBot="1" x14ac:dyDescent="0.45">
      <c r="A67" s="30" t="s">
        <v>99</v>
      </c>
      <c r="B67" s="31">
        <v>1</v>
      </c>
      <c r="C67" s="709"/>
      <c r="D67" s="712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 x14ac:dyDescent="0.4">
      <c r="A68" s="30" t="s">
        <v>100</v>
      </c>
      <c r="B68" s="100">
        <f>(B67/B66)*(B65/B64)*(B63/B62)*(B61/B60)*B59</f>
        <v>1250</v>
      </c>
      <c r="C68" s="707" t="s">
        <v>101</v>
      </c>
      <c r="D68" s="710">
        <v>909.1</v>
      </c>
      <c r="E68" s="84">
        <v>1</v>
      </c>
      <c r="F68" s="85">
        <v>23527633</v>
      </c>
      <c r="G68" s="94">
        <f>IF(ISBLANK(F68),"-",(F68/$D$50*$D$47*$B$68)*($B$57/$D$68))</f>
        <v>317.38809404879089</v>
      </c>
      <c r="H68" s="90">
        <f t="shared" si="0"/>
        <v>1.0579603134959696</v>
      </c>
    </row>
    <row r="69" spans="1:8" ht="27" customHeight="1" thickBot="1" x14ac:dyDescent="0.45">
      <c r="A69" s="75" t="s">
        <v>102</v>
      </c>
      <c r="B69" s="101">
        <f>(D47*B68)/B56*B57</f>
        <v>949.90200000000004</v>
      </c>
      <c r="C69" s="708"/>
      <c r="D69" s="711"/>
      <c r="E69" s="88">
        <v>2</v>
      </c>
      <c r="F69" s="43">
        <v>23387769</v>
      </c>
      <c r="G69" s="96">
        <f>IF(ISBLANK(F69),"-",(F69/$D$50*$D$47*$B$68)*($B$57/$D$68))</f>
        <v>315.50132675749393</v>
      </c>
      <c r="H69" s="90">
        <f t="shared" si="0"/>
        <v>1.0516710891916465</v>
      </c>
    </row>
    <row r="70" spans="1:8" ht="26.25" customHeight="1" x14ac:dyDescent="0.4">
      <c r="A70" s="715" t="s">
        <v>75</v>
      </c>
      <c r="B70" s="716"/>
      <c r="C70" s="708"/>
      <c r="D70" s="711"/>
      <c r="E70" s="88">
        <v>3</v>
      </c>
      <c r="F70" s="43">
        <v>23263697</v>
      </c>
      <c r="G70" s="96">
        <f>IF(ISBLANK(F70),"-",(F70/$D$50*$D$47*$B$68)*($B$57/$D$68))</f>
        <v>313.82759376425901</v>
      </c>
      <c r="H70" s="90">
        <f t="shared" si="0"/>
        <v>1.0460919792141967</v>
      </c>
    </row>
    <row r="71" spans="1:8" ht="27" customHeight="1" thickBot="1" x14ac:dyDescent="0.45">
      <c r="A71" s="717"/>
      <c r="B71" s="718"/>
      <c r="C71" s="713"/>
      <c r="D71" s="712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 x14ac:dyDescent="0.4">
      <c r="A72" s="59"/>
      <c r="B72" s="59"/>
      <c r="C72" s="59"/>
      <c r="D72" s="59"/>
      <c r="E72" s="59"/>
      <c r="F72" s="103" t="s">
        <v>68</v>
      </c>
      <c r="G72" s="104">
        <f>AVERAGE(G60:G71)</f>
        <v>311.0668581640989</v>
      </c>
      <c r="H72" s="105">
        <f>AVERAGE(H60:H71)</f>
        <v>1.0368895272136631</v>
      </c>
    </row>
    <row r="73" spans="1:8" ht="26.25" customHeight="1" x14ac:dyDescent="0.4">
      <c r="C73" s="59"/>
      <c r="D73" s="59"/>
      <c r="E73" s="59"/>
      <c r="F73" s="106" t="s">
        <v>81</v>
      </c>
      <c r="G73" s="107">
        <f>STDEV(G60:G71)/G72</f>
        <v>1.6892775688684348E-2</v>
      </c>
      <c r="H73" s="107">
        <f>STDEV(H60:H71)/H72</f>
        <v>1.6892775688684362E-2</v>
      </c>
    </row>
    <row r="74" spans="1:8" ht="27" customHeight="1" thickBot="1" x14ac:dyDescent="0.45">
      <c r="A74" s="59"/>
      <c r="B74" s="59"/>
      <c r="C74" s="59"/>
      <c r="D74" s="59"/>
      <c r="E74" s="61"/>
      <c r="F74" s="108" t="s">
        <v>17</v>
      </c>
      <c r="G74" s="109">
        <f>COUNT(G60:G71)</f>
        <v>6</v>
      </c>
      <c r="H74" s="109">
        <f>COUNT(H60:H71)</f>
        <v>6</v>
      </c>
    </row>
    <row r="76" spans="1:8" ht="26.25" customHeight="1" x14ac:dyDescent="0.4">
      <c r="A76" s="14" t="s">
        <v>103</v>
      </c>
      <c r="B76" s="15" t="s">
        <v>104</v>
      </c>
      <c r="C76" s="719" t="str">
        <f>B20</f>
        <v xml:space="preserve">Tenofovir Disoproxil Fumarate 300mg, Lamivudine 300mg &amp; Efavirenz 600mg </v>
      </c>
      <c r="D76" s="719"/>
      <c r="E76" s="5" t="s">
        <v>105</v>
      </c>
      <c r="F76" s="5"/>
      <c r="G76" s="110">
        <f>H72</f>
        <v>1.0368895272136631</v>
      </c>
      <c r="H76" s="19"/>
    </row>
    <row r="77" spans="1:8" ht="18.75" x14ac:dyDescent="0.3">
      <c r="A77" s="13" t="s">
        <v>106</v>
      </c>
      <c r="B77" s="13" t="s">
        <v>107</v>
      </c>
    </row>
    <row r="78" spans="1:8" ht="18.75" x14ac:dyDescent="0.3">
      <c r="A78" s="13"/>
      <c r="B78" s="13"/>
    </row>
    <row r="79" spans="1:8" ht="26.25" customHeight="1" x14ac:dyDescent="0.4">
      <c r="A79" s="14" t="s">
        <v>4</v>
      </c>
      <c r="B79" s="714" t="str">
        <f>B26</f>
        <v>Tenofovir Disoproxil Fumurate</v>
      </c>
      <c r="C79" s="714"/>
    </row>
    <row r="80" spans="1:8" ht="26.25" customHeight="1" x14ac:dyDescent="0.4">
      <c r="A80" s="15" t="s">
        <v>45</v>
      </c>
      <c r="B80" s="714" t="str">
        <f>B27</f>
        <v>T11-8</v>
      </c>
      <c r="C80" s="714"/>
    </row>
    <row r="81" spans="1:12" ht="27" customHeight="1" thickBot="1" x14ac:dyDescent="0.45">
      <c r="A81" s="15" t="s">
        <v>6</v>
      </c>
      <c r="B81" s="16">
        <f>B28</f>
        <v>98.8</v>
      </c>
    </row>
    <row r="82" spans="1:12" s="3" customFormat="1" ht="27" customHeight="1" thickBot="1" x14ac:dyDescent="0.45">
      <c r="A82" s="15" t="s">
        <v>46</v>
      </c>
      <c r="B82" s="17">
        <v>0</v>
      </c>
      <c r="C82" s="696" t="s">
        <v>47</v>
      </c>
      <c r="D82" s="697"/>
      <c r="E82" s="697"/>
      <c r="F82" s="697"/>
      <c r="G82" s="698"/>
      <c r="I82" s="18"/>
      <c r="J82" s="18"/>
      <c r="K82" s="18"/>
      <c r="L82" s="18"/>
    </row>
    <row r="83" spans="1:12" s="3" customFormat="1" ht="19.5" customHeight="1" thickBot="1" x14ac:dyDescent="0.35">
      <c r="A83" s="15" t="s">
        <v>48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 x14ac:dyDescent="0.45">
      <c r="A84" s="15" t="s">
        <v>49</v>
      </c>
      <c r="B84" s="22">
        <v>1</v>
      </c>
      <c r="C84" s="684" t="s">
        <v>108</v>
      </c>
      <c r="D84" s="685"/>
      <c r="E84" s="685"/>
      <c r="F84" s="685"/>
      <c r="G84" s="685"/>
      <c r="H84" s="686"/>
      <c r="I84" s="18"/>
      <c r="J84" s="18"/>
      <c r="K84" s="18"/>
      <c r="L84" s="18"/>
    </row>
    <row r="85" spans="1:12" s="3" customFormat="1" ht="27" customHeight="1" thickBot="1" x14ac:dyDescent="0.45">
      <c r="A85" s="15" t="s">
        <v>51</v>
      </c>
      <c r="B85" s="22">
        <v>1</v>
      </c>
      <c r="C85" s="684" t="s">
        <v>109</v>
      </c>
      <c r="D85" s="685"/>
      <c r="E85" s="685"/>
      <c r="F85" s="685"/>
      <c r="G85" s="685"/>
      <c r="H85" s="686"/>
      <c r="I85" s="18"/>
      <c r="J85" s="18"/>
      <c r="K85" s="18"/>
      <c r="L85" s="18"/>
    </row>
    <row r="86" spans="1:12" s="3" customFormat="1" ht="18.75" x14ac:dyDescent="0.3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 x14ac:dyDescent="0.3">
      <c r="A87" s="15" t="s">
        <v>53</v>
      </c>
      <c r="B87" s="27">
        <f>B84/B85</f>
        <v>1</v>
      </c>
      <c r="C87" s="5" t="s">
        <v>54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 x14ac:dyDescent="0.35">
      <c r="A88" s="13"/>
      <c r="B88" s="13"/>
    </row>
    <row r="89" spans="1:12" ht="27" customHeight="1" thickBot="1" x14ac:dyDescent="0.45">
      <c r="A89" s="28" t="s">
        <v>55</v>
      </c>
      <c r="B89" s="29">
        <v>25</v>
      </c>
      <c r="D89" s="111" t="s">
        <v>56</v>
      </c>
      <c r="E89" s="112"/>
      <c r="F89" s="699" t="s">
        <v>57</v>
      </c>
      <c r="G89" s="701"/>
    </row>
    <row r="90" spans="1:12" ht="27" customHeight="1" thickBot="1" x14ac:dyDescent="0.45">
      <c r="A90" s="30" t="s">
        <v>58</v>
      </c>
      <c r="B90" s="31">
        <v>10</v>
      </c>
      <c r="C90" s="113" t="s">
        <v>59</v>
      </c>
      <c r="D90" s="33" t="s">
        <v>60</v>
      </c>
      <c r="E90" s="34" t="s">
        <v>61</v>
      </c>
      <c r="F90" s="33" t="s">
        <v>60</v>
      </c>
      <c r="G90" s="114" t="s">
        <v>61</v>
      </c>
      <c r="I90" s="36" t="s">
        <v>62</v>
      </c>
    </row>
    <row r="91" spans="1:12" ht="26.25" customHeight="1" x14ac:dyDescent="0.4">
      <c r="A91" s="30" t="s">
        <v>63</v>
      </c>
      <c r="B91" s="31">
        <v>20</v>
      </c>
      <c r="C91" s="115">
        <v>1</v>
      </c>
      <c r="D91" s="38">
        <v>73424721</v>
      </c>
      <c r="E91" s="39">
        <f>IF(ISBLANK(D91),"-",$D$101/$D$98*D91)</f>
        <v>73971319.738655522</v>
      </c>
      <c r="F91" s="38">
        <v>68856923</v>
      </c>
      <c r="G91" s="40">
        <f>IF(ISBLANK(F91),"-",$D$101/$F$98*F91)</f>
        <v>73207186.872724816</v>
      </c>
      <c r="I91" s="41"/>
    </row>
    <row r="92" spans="1:12" ht="26.25" customHeight="1" x14ac:dyDescent="0.4">
      <c r="A92" s="30" t="s">
        <v>64</v>
      </c>
      <c r="B92" s="31">
        <v>1</v>
      </c>
      <c r="C92" s="59">
        <v>2</v>
      </c>
      <c r="D92" s="43">
        <v>73212740</v>
      </c>
      <c r="E92" s="44">
        <f>IF(ISBLANK(D92),"-",$D$101/$D$98*D92)</f>
        <v>73757760.679581672</v>
      </c>
      <c r="F92" s="43">
        <v>68859152</v>
      </c>
      <c r="G92" s="45">
        <f>IF(ISBLANK(F92),"-",$D$101/$F$98*F92)</f>
        <v>73209556.697172821</v>
      </c>
      <c r="I92" s="702">
        <f>ABS((F96/D96*D95)-F95)/D95</f>
        <v>1.0496072569253875E-2</v>
      </c>
    </row>
    <row r="93" spans="1:12" ht="26.25" customHeight="1" x14ac:dyDescent="0.4">
      <c r="A93" s="30" t="s">
        <v>65</v>
      </c>
      <c r="B93" s="31">
        <v>1</v>
      </c>
      <c r="C93" s="59">
        <v>3</v>
      </c>
      <c r="D93" s="43">
        <v>73568097</v>
      </c>
      <c r="E93" s="44">
        <f>IF(ISBLANK(D93),"-",$D$101/$D$98*D93)</f>
        <v>74115763.078642458</v>
      </c>
      <c r="F93" s="43">
        <v>68634567</v>
      </c>
      <c r="G93" s="45">
        <f>IF(ISBLANK(F93),"-",$D$101/$F$98*F93)</f>
        <v>72970782.796924457</v>
      </c>
      <c r="I93" s="702"/>
    </row>
    <row r="94" spans="1:12" ht="27" customHeight="1" thickBot="1" x14ac:dyDescent="0.45">
      <c r="A94" s="30" t="s">
        <v>66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 x14ac:dyDescent="0.45">
      <c r="A95" s="30" t="s">
        <v>67</v>
      </c>
      <c r="B95" s="31">
        <v>1</v>
      </c>
      <c r="C95" s="15" t="s">
        <v>68</v>
      </c>
      <c r="D95" s="118">
        <f>AVERAGE(D91:D94)</f>
        <v>73401852.666666672</v>
      </c>
      <c r="E95" s="53">
        <f>AVERAGE(E91:E94)</f>
        <v>73948281.165626556</v>
      </c>
      <c r="F95" s="119">
        <f>AVERAGE(F91:F94)</f>
        <v>68783547.333333328</v>
      </c>
      <c r="G95" s="120">
        <f>AVERAGE(G91:G94)</f>
        <v>73129175.45560737</v>
      </c>
    </row>
    <row r="96" spans="1:12" ht="26.25" customHeight="1" x14ac:dyDescent="0.4">
      <c r="A96" s="30" t="s">
        <v>69</v>
      </c>
      <c r="B96" s="16">
        <v>1</v>
      </c>
      <c r="C96" s="121" t="s">
        <v>110</v>
      </c>
      <c r="D96" s="122">
        <v>15.07</v>
      </c>
      <c r="E96" s="5"/>
      <c r="F96" s="56">
        <v>14.28</v>
      </c>
    </row>
    <row r="97" spans="1:10" ht="26.25" customHeight="1" x14ac:dyDescent="0.4">
      <c r="A97" s="30" t="s">
        <v>71</v>
      </c>
      <c r="B97" s="16">
        <v>1</v>
      </c>
      <c r="C97" s="123" t="s">
        <v>111</v>
      </c>
      <c r="D97" s="124">
        <f>D96*$B$87</f>
        <v>15.07</v>
      </c>
      <c r="E97" s="59"/>
      <c r="F97" s="58">
        <f>F96*$B$87</f>
        <v>14.28</v>
      </c>
    </row>
    <row r="98" spans="1:10" ht="19.5" customHeight="1" thickBot="1" x14ac:dyDescent="0.35">
      <c r="A98" s="30" t="s">
        <v>73</v>
      </c>
      <c r="B98" s="59">
        <f>(B97/B96)*(B95/B94)*(B93/B92)*(B91/B90)*B89</f>
        <v>50</v>
      </c>
      <c r="C98" s="123" t="s">
        <v>112</v>
      </c>
      <c r="D98" s="125">
        <f>D97*$B$83/100</f>
        <v>14.889159999999999</v>
      </c>
      <c r="E98" s="61"/>
      <c r="F98" s="60">
        <f>F97*$B$83/100</f>
        <v>14.108639999999998</v>
      </c>
    </row>
    <row r="99" spans="1:10" ht="19.5" customHeight="1" thickBot="1" x14ac:dyDescent="0.35">
      <c r="A99" s="703" t="s">
        <v>75</v>
      </c>
      <c r="B99" s="720"/>
      <c r="C99" s="123" t="s">
        <v>113</v>
      </c>
      <c r="D99" s="126">
        <f>D98/$B$98</f>
        <v>0.29778319999999997</v>
      </c>
      <c r="E99" s="61"/>
      <c r="F99" s="64">
        <f>F98/$B$98</f>
        <v>0.28217279999999995</v>
      </c>
      <c r="H99" s="4"/>
    </row>
    <row r="100" spans="1:10" ht="19.5" customHeight="1" thickBot="1" x14ac:dyDescent="0.35">
      <c r="A100" s="705"/>
      <c r="B100" s="721"/>
      <c r="C100" s="123" t="s">
        <v>77</v>
      </c>
      <c r="D100" s="127">
        <f>$B$56/$B$116</f>
        <v>0.3</v>
      </c>
      <c r="F100" s="69"/>
      <c r="G100" s="128"/>
      <c r="H100" s="4"/>
    </row>
    <row r="101" spans="1:10" ht="18.75" x14ac:dyDescent="0.3">
      <c r="C101" s="123" t="s">
        <v>78</v>
      </c>
      <c r="D101" s="124">
        <f>D100*$B$98</f>
        <v>15</v>
      </c>
      <c r="F101" s="69"/>
      <c r="H101" s="4"/>
    </row>
    <row r="102" spans="1:10" ht="19.5" customHeight="1" thickBot="1" x14ac:dyDescent="0.35">
      <c r="C102" s="129" t="s">
        <v>79</v>
      </c>
      <c r="D102" s="130">
        <f>D101/B34</f>
        <v>15</v>
      </c>
      <c r="F102" s="73"/>
      <c r="H102" s="4"/>
      <c r="J102" s="131"/>
    </row>
    <row r="103" spans="1:10" ht="18.75" x14ac:dyDescent="0.3">
      <c r="C103" s="132" t="s">
        <v>114</v>
      </c>
      <c r="D103" s="133">
        <f>AVERAGE(E91:E94,G91:G94)</f>
        <v>73538728.310616955</v>
      </c>
      <c r="F103" s="73"/>
      <c r="G103" s="128"/>
      <c r="H103" s="4"/>
      <c r="J103" s="134"/>
    </row>
    <row r="104" spans="1:10" ht="18.75" x14ac:dyDescent="0.3">
      <c r="C104" s="106" t="s">
        <v>81</v>
      </c>
      <c r="D104" s="135">
        <f>STDEV(E91:E94,G91:G94)/D103</f>
        <v>6.4039524022751265E-3</v>
      </c>
      <c r="F104" s="73"/>
      <c r="H104" s="4"/>
      <c r="J104" s="134"/>
    </row>
    <row r="105" spans="1:10" ht="19.5" customHeight="1" thickBot="1" x14ac:dyDescent="0.35">
      <c r="C105" s="108" t="s">
        <v>17</v>
      </c>
      <c r="D105" s="136">
        <f>COUNT(E91:E94,G91:G94)</f>
        <v>6</v>
      </c>
      <c r="F105" s="73"/>
      <c r="H105" s="4"/>
      <c r="J105" s="134"/>
    </row>
    <row r="106" spans="1:10" ht="19.5" customHeight="1" thickBot="1" x14ac:dyDescent="0.35">
      <c r="A106" s="77"/>
      <c r="B106" s="77"/>
      <c r="C106" s="77"/>
      <c r="D106" s="77"/>
      <c r="E106" s="77"/>
    </row>
    <row r="107" spans="1:10" ht="26.25" customHeight="1" x14ac:dyDescent="0.4">
      <c r="A107" s="28" t="s">
        <v>115</v>
      </c>
      <c r="B107" s="29">
        <v>1000</v>
      </c>
      <c r="C107" s="111" t="s">
        <v>116</v>
      </c>
      <c r="D107" s="137" t="s">
        <v>60</v>
      </c>
      <c r="E107" s="138" t="s">
        <v>117</v>
      </c>
      <c r="F107" s="139" t="s">
        <v>118</v>
      </c>
    </row>
    <row r="108" spans="1:10" ht="26.25" customHeight="1" x14ac:dyDescent="0.4">
      <c r="A108" s="30" t="s">
        <v>119</v>
      </c>
      <c r="B108" s="31">
        <v>1</v>
      </c>
      <c r="C108" s="140">
        <v>1</v>
      </c>
      <c r="D108" s="141">
        <v>68286081</v>
      </c>
      <c r="E108" s="142">
        <f t="shared" ref="E108:E113" si="1">IF(ISBLANK(D108),"-",D108/$D$103*$D$100*$B$116)</f>
        <v>278.57191401883966</v>
      </c>
      <c r="F108" s="143">
        <f t="shared" ref="F108:F113" si="2">IF(ISBLANK(D108), "-", E108/$B$56)</f>
        <v>0.9285730467294655</v>
      </c>
    </row>
    <row r="109" spans="1:10" ht="26.25" customHeight="1" x14ac:dyDescent="0.4">
      <c r="A109" s="30" t="s">
        <v>92</v>
      </c>
      <c r="B109" s="31">
        <v>1</v>
      </c>
      <c r="C109" s="140">
        <v>2</v>
      </c>
      <c r="D109" s="141">
        <v>68221426</v>
      </c>
      <c r="E109" s="144">
        <f t="shared" si="1"/>
        <v>278.30815503842769</v>
      </c>
      <c r="F109" s="145">
        <f t="shared" si="2"/>
        <v>0.92769385012809225</v>
      </c>
    </row>
    <row r="110" spans="1:10" ht="26.25" customHeight="1" x14ac:dyDescent="0.4">
      <c r="A110" s="30" t="s">
        <v>93</v>
      </c>
      <c r="B110" s="31">
        <v>1</v>
      </c>
      <c r="C110" s="140">
        <v>3</v>
      </c>
      <c r="D110" s="141">
        <v>68229674</v>
      </c>
      <c r="E110" s="144">
        <f t="shared" si="1"/>
        <v>278.34180261511074</v>
      </c>
      <c r="F110" s="145">
        <f t="shared" si="2"/>
        <v>0.92780600871703578</v>
      </c>
    </row>
    <row r="111" spans="1:10" ht="26.25" customHeight="1" x14ac:dyDescent="0.4">
      <c r="A111" s="30" t="s">
        <v>94</v>
      </c>
      <c r="B111" s="31">
        <v>1</v>
      </c>
      <c r="C111" s="140">
        <v>4</v>
      </c>
      <c r="D111" s="141">
        <v>68347419</v>
      </c>
      <c r="E111" s="144">
        <f t="shared" si="1"/>
        <v>278.82214135377916</v>
      </c>
      <c r="F111" s="145">
        <f t="shared" si="2"/>
        <v>0.92940713784593054</v>
      </c>
    </row>
    <row r="112" spans="1:10" ht="26.25" customHeight="1" x14ac:dyDescent="0.4">
      <c r="A112" s="30" t="s">
        <v>95</v>
      </c>
      <c r="B112" s="31">
        <v>1</v>
      </c>
      <c r="C112" s="140">
        <v>5</v>
      </c>
      <c r="D112" s="141">
        <v>68253461</v>
      </c>
      <c r="E112" s="144">
        <f t="shared" si="1"/>
        <v>278.43884127982437</v>
      </c>
      <c r="F112" s="145">
        <f t="shared" si="2"/>
        <v>0.92812947093274789</v>
      </c>
    </row>
    <row r="113" spans="1:10" ht="26.25" customHeight="1" x14ac:dyDescent="0.4">
      <c r="A113" s="30" t="s">
        <v>97</v>
      </c>
      <c r="B113" s="31">
        <v>1</v>
      </c>
      <c r="C113" s="146">
        <v>6</v>
      </c>
      <c r="D113" s="147">
        <v>68329921</v>
      </c>
      <c r="E113" s="148">
        <f t="shared" si="1"/>
        <v>278.75075855833796</v>
      </c>
      <c r="F113" s="149">
        <f t="shared" si="2"/>
        <v>0.92916919519445984</v>
      </c>
    </row>
    <row r="114" spans="1:10" ht="26.25" customHeight="1" x14ac:dyDescent="0.4">
      <c r="A114" s="30" t="s">
        <v>98</v>
      </c>
      <c r="B114" s="31">
        <v>1</v>
      </c>
      <c r="C114" s="140"/>
      <c r="D114" s="59"/>
      <c r="E114" s="5"/>
      <c r="F114" s="150"/>
    </row>
    <row r="115" spans="1:10" ht="26.25" customHeight="1" x14ac:dyDescent="0.4">
      <c r="A115" s="30" t="s">
        <v>99</v>
      </c>
      <c r="B115" s="31">
        <v>1</v>
      </c>
      <c r="C115" s="140"/>
      <c r="D115" s="151" t="s">
        <v>68</v>
      </c>
      <c r="E115" s="152">
        <f>AVERAGE(E108:E113)</f>
        <v>278.53893547738659</v>
      </c>
      <c r="F115" s="153">
        <f>AVERAGE(F108:F113)</f>
        <v>0.92846311825795524</v>
      </c>
    </row>
    <row r="116" spans="1:10" ht="27" customHeight="1" thickBot="1" x14ac:dyDescent="0.45">
      <c r="A116" s="30" t="s">
        <v>100</v>
      </c>
      <c r="B116" s="42">
        <f>(B115/B114)*(B113/B112)*(B111/B110)*(B109/B108)*B107</f>
        <v>1000</v>
      </c>
      <c r="C116" s="154"/>
      <c r="D116" s="15" t="s">
        <v>81</v>
      </c>
      <c r="E116" s="155">
        <f>STDEV(E108:E113)/E115</f>
        <v>7.6715644799523288E-4</v>
      </c>
      <c r="F116" s="155">
        <f>STDEV(F108:F113)/F115</f>
        <v>7.6715644799523982E-4</v>
      </c>
      <c r="I116" s="5"/>
    </row>
    <row r="117" spans="1:10" ht="27" customHeight="1" thickBot="1" x14ac:dyDescent="0.45">
      <c r="A117" s="703" t="s">
        <v>75</v>
      </c>
      <c r="B117" s="704"/>
      <c r="C117" s="156"/>
      <c r="D117" s="157" t="s">
        <v>17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 x14ac:dyDescent="0.35">
      <c r="A118" s="705"/>
      <c r="B118" s="706"/>
      <c r="C118" s="5"/>
      <c r="D118" s="5"/>
      <c r="E118" s="5"/>
      <c r="F118" s="59"/>
      <c r="G118" s="5"/>
      <c r="H118" s="5"/>
      <c r="I118" s="5"/>
    </row>
    <row r="119" spans="1:10" ht="18.75" x14ac:dyDescent="0.3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 x14ac:dyDescent="0.4">
      <c r="A120" s="14" t="s">
        <v>103</v>
      </c>
      <c r="B120" s="15" t="s">
        <v>120</v>
      </c>
      <c r="C120" s="719" t="str">
        <f>B20</f>
        <v xml:space="preserve">Tenofovir Disoproxil Fumarate 300mg, Lamivudine 300mg &amp; Efavirenz 600mg </v>
      </c>
      <c r="D120" s="719"/>
      <c r="E120" s="5" t="s">
        <v>121</v>
      </c>
      <c r="F120" s="5"/>
      <c r="G120" s="110">
        <f>F115</f>
        <v>0.92846311825795524</v>
      </c>
      <c r="H120" s="5"/>
      <c r="I120" s="5"/>
    </row>
    <row r="121" spans="1:10" ht="19.5" customHeight="1" thickBot="1" x14ac:dyDescent="0.35">
      <c r="A121" s="160"/>
      <c r="B121" s="160"/>
      <c r="C121" s="161"/>
      <c r="D121" s="161"/>
      <c r="E121" s="161"/>
      <c r="F121" s="161"/>
      <c r="G121" s="161"/>
      <c r="H121" s="161"/>
    </row>
    <row r="122" spans="1:10" ht="18.75" x14ac:dyDescent="0.3">
      <c r="B122" s="722" t="s">
        <v>23</v>
      </c>
      <c r="C122" s="722"/>
      <c r="E122" s="113" t="s">
        <v>24</v>
      </c>
      <c r="F122" s="162"/>
      <c r="G122" s="722" t="s">
        <v>25</v>
      </c>
      <c r="H122" s="722"/>
    </row>
    <row r="123" spans="1:10" ht="69.95" customHeight="1" x14ac:dyDescent="0.3">
      <c r="A123" s="14" t="s">
        <v>26</v>
      </c>
      <c r="B123" s="163"/>
      <c r="C123" s="163"/>
      <c r="E123" s="163"/>
      <c r="F123" s="5"/>
      <c r="G123" s="163"/>
      <c r="H123" s="163"/>
    </row>
    <row r="124" spans="1:10" ht="69.95" customHeight="1" x14ac:dyDescent="0.3">
      <c r="A124" s="14" t="s">
        <v>27</v>
      </c>
      <c r="B124" s="164"/>
      <c r="C124" s="164"/>
      <c r="E124" s="164"/>
      <c r="F124" s="5"/>
      <c r="G124" s="165"/>
      <c r="H124" s="165"/>
    </row>
    <row r="125" spans="1:10" ht="18.75" x14ac:dyDescent="0.3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 x14ac:dyDescent="0.3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 x14ac:dyDescent="0.3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 x14ac:dyDescent="0.3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 x14ac:dyDescent="0.3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 x14ac:dyDescent="0.3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 x14ac:dyDescent="0.3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 x14ac:dyDescent="0.3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 x14ac:dyDescent="0.3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zoomScale="60" workbookViewId="0">
      <selection activeCell="B30" sqref="B30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624"/>
  </cols>
  <sheetData>
    <row r="3" spans="1:5" ht="18.75" customHeight="1" x14ac:dyDescent="0.3">
      <c r="A3" s="723" t="s">
        <v>0</v>
      </c>
      <c r="B3" s="723"/>
      <c r="C3" s="723"/>
      <c r="D3" s="723"/>
      <c r="E3" s="723"/>
    </row>
    <row r="4" spans="1:5" ht="16.5" customHeight="1" x14ac:dyDescent="0.3">
      <c r="A4" s="589" t="s">
        <v>1</v>
      </c>
      <c r="B4" s="590" t="s">
        <v>2</v>
      </c>
    </row>
    <row r="5" spans="1:5" ht="16.5" customHeight="1" x14ac:dyDescent="0.3">
      <c r="A5" s="591" t="s">
        <v>3</v>
      </c>
      <c r="B5" s="591" t="s">
        <v>122</v>
      </c>
      <c r="D5" s="592"/>
      <c r="E5" s="593"/>
    </row>
    <row r="6" spans="1:5" ht="16.5" customHeight="1" x14ac:dyDescent="0.3">
      <c r="A6" s="594" t="s">
        <v>4</v>
      </c>
      <c r="B6" s="595" t="s">
        <v>126</v>
      </c>
      <c r="C6" s="593"/>
      <c r="D6" s="593"/>
      <c r="E6" s="593"/>
    </row>
    <row r="7" spans="1:5" ht="16.5" customHeight="1" x14ac:dyDescent="0.3">
      <c r="A7" s="594" t="s">
        <v>6</v>
      </c>
      <c r="B7" s="592">
        <v>84.06</v>
      </c>
      <c r="C7" s="593"/>
      <c r="D7" s="593"/>
      <c r="E7" s="593"/>
    </row>
    <row r="8" spans="1:5" ht="16.5" customHeight="1" x14ac:dyDescent="0.3">
      <c r="A8" s="591" t="s">
        <v>7</v>
      </c>
      <c r="B8" s="595">
        <f>Lamivudine!D43</f>
        <v>14.53</v>
      </c>
      <c r="C8" s="593"/>
      <c r="D8" s="593"/>
      <c r="E8" s="593"/>
    </row>
    <row r="9" spans="1:5" ht="16.5" customHeight="1" x14ac:dyDescent="0.3">
      <c r="A9" s="591" t="s">
        <v>8</v>
      </c>
      <c r="B9" s="596">
        <f>B8/50*10/25</f>
        <v>0.11623999999999998</v>
      </c>
      <c r="C9" s="593"/>
      <c r="D9" s="593"/>
      <c r="E9" s="593"/>
    </row>
    <row r="10" spans="1:5" ht="15.75" customHeight="1" x14ac:dyDescent="0.25">
      <c r="A10" s="593"/>
      <c r="B10" s="597"/>
      <c r="C10" s="593"/>
      <c r="D10" s="593"/>
      <c r="E10" s="593"/>
    </row>
    <row r="11" spans="1:5" ht="16.5" customHeight="1" x14ac:dyDescent="0.3">
      <c r="A11" s="598" t="s">
        <v>10</v>
      </c>
      <c r="B11" s="599" t="s">
        <v>11</v>
      </c>
      <c r="C11" s="598" t="s">
        <v>12</v>
      </c>
      <c r="D11" s="598" t="s">
        <v>13</v>
      </c>
      <c r="E11" s="598" t="s">
        <v>14</v>
      </c>
    </row>
    <row r="12" spans="1:5" ht="16.5" customHeight="1" x14ac:dyDescent="0.3">
      <c r="A12" s="600">
        <v>1</v>
      </c>
      <c r="B12" s="601">
        <v>43541961</v>
      </c>
      <c r="C12" s="601">
        <v>4805.6000000000004</v>
      </c>
      <c r="D12" s="602">
        <v>0.9</v>
      </c>
      <c r="E12" s="603">
        <v>4.2</v>
      </c>
    </row>
    <row r="13" spans="1:5" ht="16.5" customHeight="1" x14ac:dyDescent="0.3">
      <c r="A13" s="600">
        <v>2</v>
      </c>
      <c r="B13" s="601">
        <v>43450954</v>
      </c>
      <c r="C13" s="601">
        <v>4820</v>
      </c>
      <c r="D13" s="602">
        <v>0.9</v>
      </c>
      <c r="E13" s="602">
        <v>4.2</v>
      </c>
    </row>
    <row r="14" spans="1:5" ht="16.5" customHeight="1" x14ac:dyDescent="0.3">
      <c r="A14" s="600">
        <v>3</v>
      </c>
      <c r="B14" s="601">
        <v>43499803</v>
      </c>
      <c r="C14" s="601">
        <v>4888.3</v>
      </c>
      <c r="D14" s="602">
        <v>0.9</v>
      </c>
      <c r="E14" s="602">
        <v>4.3</v>
      </c>
    </row>
    <row r="15" spans="1:5" ht="16.5" customHeight="1" x14ac:dyDescent="0.3">
      <c r="A15" s="600">
        <v>4</v>
      </c>
      <c r="B15" s="601">
        <v>43566390</v>
      </c>
      <c r="C15" s="601">
        <v>4820.8999999999996</v>
      </c>
      <c r="D15" s="602">
        <v>0.9</v>
      </c>
      <c r="E15" s="602">
        <v>4.3</v>
      </c>
    </row>
    <row r="16" spans="1:5" ht="16.5" customHeight="1" x14ac:dyDescent="0.3">
      <c r="A16" s="600">
        <v>5</v>
      </c>
      <c r="B16" s="601">
        <v>43411394</v>
      </c>
      <c r="C16" s="601">
        <v>4833.2</v>
      </c>
      <c r="D16" s="602">
        <v>0.9</v>
      </c>
      <c r="E16" s="602">
        <v>4.3</v>
      </c>
    </row>
    <row r="17" spans="1:5" ht="16.5" customHeight="1" x14ac:dyDescent="0.3">
      <c r="A17" s="600">
        <v>6</v>
      </c>
      <c r="B17" s="604">
        <v>43431479</v>
      </c>
      <c r="C17" s="604">
        <v>4937.3999999999996</v>
      </c>
      <c r="D17" s="605">
        <v>0.9</v>
      </c>
      <c r="E17" s="605">
        <v>4.3</v>
      </c>
    </row>
    <row r="18" spans="1:5" ht="16.5" customHeight="1" x14ac:dyDescent="0.3">
      <c r="A18" s="606" t="s">
        <v>15</v>
      </c>
      <c r="B18" s="607">
        <f>AVERAGE(B12:B17)</f>
        <v>43483663.5</v>
      </c>
      <c r="C18" s="608">
        <f>AVERAGE(C12:C17)</f>
        <v>4850.9000000000005</v>
      </c>
      <c r="D18" s="609">
        <f>AVERAGE(D12:D17)</f>
        <v>0.9</v>
      </c>
      <c r="E18" s="609">
        <f>AVERAGE(E12:E17)</f>
        <v>4.2666666666666666</v>
      </c>
    </row>
    <row r="19" spans="1:5" ht="16.5" customHeight="1" x14ac:dyDescent="0.3">
      <c r="A19" s="610" t="s">
        <v>16</v>
      </c>
      <c r="B19" s="611">
        <f>(STDEV(B12:B17)/B18)</f>
        <v>1.4368621111311172E-3</v>
      </c>
      <c r="C19" s="612"/>
      <c r="D19" s="612"/>
      <c r="E19" s="613"/>
    </row>
    <row r="20" spans="1:5" s="588" customFormat="1" ht="16.5" customHeight="1" x14ac:dyDescent="0.3">
      <c r="A20" s="614" t="s">
        <v>17</v>
      </c>
      <c r="B20" s="615">
        <f>COUNT(B12:B17)</f>
        <v>6</v>
      </c>
      <c r="C20" s="616"/>
      <c r="D20" s="617"/>
      <c r="E20" s="618"/>
    </row>
    <row r="21" spans="1:5" s="588" customFormat="1" ht="15.75" customHeight="1" x14ac:dyDescent="0.25">
      <c r="A21" s="593"/>
      <c r="B21" s="593"/>
      <c r="C21" s="593"/>
      <c r="D21" s="593"/>
      <c r="E21" s="593"/>
    </row>
    <row r="22" spans="1:5" s="588" customFormat="1" ht="16.5" customHeight="1" x14ac:dyDescent="0.3">
      <c r="A22" s="594" t="s">
        <v>18</v>
      </c>
      <c r="B22" s="619" t="s">
        <v>19</v>
      </c>
      <c r="C22" s="620"/>
      <c r="D22" s="620"/>
      <c r="E22" s="620"/>
    </row>
    <row r="23" spans="1:5" ht="16.5" customHeight="1" x14ac:dyDescent="0.3">
      <c r="A23" s="594"/>
      <c r="B23" s="619" t="s">
        <v>20</v>
      </c>
      <c r="C23" s="620"/>
      <c r="D23" s="620"/>
      <c r="E23" s="620"/>
    </row>
    <row r="24" spans="1:5" ht="16.5" customHeight="1" x14ac:dyDescent="0.3">
      <c r="A24" s="594"/>
      <c r="B24" s="619" t="s">
        <v>21</v>
      </c>
      <c r="C24" s="620"/>
      <c r="D24" s="620"/>
      <c r="E24" s="620"/>
    </row>
    <row r="25" spans="1:5" ht="15.75" customHeight="1" x14ac:dyDescent="0.25">
      <c r="A25" s="593"/>
      <c r="B25" s="593"/>
      <c r="C25" s="593"/>
      <c r="D25" s="593"/>
      <c r="E25" s="593"/>
    </row>
    <row r="26" spans="1:5" ht="16.5" customHeight="1" x14ac:dyDescent="0.3">
      <c r="A26" s="589" t="s">
        <v>1</v>
      </c>
      <c r="B26" s="590" t="s">
        <v>22</v>
      </c>
    </row>
    <row r="27" spans="1:5" ht="16.5" customHeight="1" x14ac:dyDescent="0.3">
      <c r="A27" s="594" t="s">
        <v>4</v>
      </c>
      <c r="B27" s="591" t="s">
        <v>126</v>
      </c>
      <c r="C27" s="593"/>
      <c r="D27" s="593"/>
      <c r="E27" s="593"/>
    </row>
    <row r="28" spans="1:5" ht="16.5" customHeight="1" x14ac:dyDescent="0.3">
      <c r="A28" s="594" t="s">
        <v>6</v>
      </c>
      <c r="B28" s="595">
        <v>84.06</v>
      </c>
      <c r="C28" s="593"/>
      <c r="D28" s="593"/>
      <c r="E28" s="593"/>
    </row>
    <row r="29" spans="1:5" ht="16.5" customHeight="1" x14ac:dyDescent="0.3">
      <c r="A29" s="591" t="s">
        <v>7</v>
      </c>
      <c r="B29" s="595">
        <f>Lamivudine!D96</f>
        <v>16</v>
      </c>
      <c r="C29" s="593"/>
      <c r="D29" s="593"/>
      <c r="E29" s="593"/>
    </row>
    <row r="30" spans="1:5" ht="16.5" customHeight="1" x14ac:dyDescent="0.3">
      <c r="A30" s="591" t="s">
        <v>8</v>
      </c>
      <c r="B30" s="596">
        <f>B29/25*10/20</f>
        <v>0.32</v>
      </c>
      <c r="C30" s="593"/>
      <c r="D30" s="593"/>
      <c r="E30" s="593"/>
    </row>
    <row r="31" spans="1:5" ht="15.75" customHeight="1" x14ac:dyDescent="0.25">
      <c r="A31" s="593"/>
      <c r="B31" s="593"/>
      <c r="C31" s="593"/>
      <c r="D31" s="593"/>
      <c r="E31" s="593"/>
    </row>
    <row r="32" spans="1:5" ht="16.5" customHeight="1" x14ac:dyDescent="0.3">
      <c r="A32" s="598" t="s">
        <v>10</v>
      </c>
      <c r="B32" s="599" t="s">
        <v>11</v>
      </c>
      <c r="C32" s="598" t="s">
        <v>12</v>
      </c>
      <c r="D32" s="598" t="s">
        <v>13</v>
      </c>
      <c r="E32" s="598" t="s">
        <v>14</v>
      </c>
    </row>
    <row r="33" spans="1:7" ht="16.5" customHeight="1" x14ac:dyDescent="0.3">
      <c r="A33" s="600">
        <v>1</v>
      </c>
      <c r="B33" s="601">
        <v>20420692</v>
      </c>
      <c r="C33" s="601">
        <v>70094.2</v>
      </c>
      <c r="D33" s="602">
        <v>1.2</v>
      </c>
      <c r="E33" s="603">
        <v>8.6</v>
      </c>
    </row>
    <row r="34" spans="1:7" ht="16.5" customHeight="1" x14ac:dyDescent="0.3">
      <c r="A34" s="600">
        <v>2</v>
      </c>
      <c r="B34" s="601">
        <v>20344360</v>
      </c>
      <c r="C34" s="601">
        <v>69785.600000000006</v>
      </c>
      <c r="D34" s="602">
        <v>1.2</v>
      </c>
      <c r="E34" s="602">
        <v>8.6</v>
      </c>
    </row>
    <row r="35" spans="1:7" ht="16.5" customHeight="1" x14ac:dyDescent="0.3">
      <c r="A35" s="600">
        <v>3</v>
      </c>
      <c r="B35" s="601">
        <v>20408505</v>
      </c>
      <c r="C35" s="601">
        <v>69688.899999999994</v>
      </c>
      <c r="D35" s="602">
        <v>1.2</v>
      </c>
      <c r="E35" s="602">
        <v>8.6</v>
      </c>
    </row>
    <row r="36" spans="1:7" ht="16.5" customHeight="1" x14ac:dyDescent="0.3">
      <c r="A36" s="600">
        <v>4</v>
      </c>
      <c r="B36" s="601">
        <v>20326724</v>
      </c>
      <c r="C36" s="601">
        <v>69602.3</v>
      </c>
      <c r="D36" s="602">
        <v>1.2</v>
      </c>
      <c r="E36" s="602">
        <v>8.6</v>
      </c>
    </row>
    <row r="37" spans="1:7" ht="16.5" customHeight="1" x14ac:dyDescent="0.3">
      <c r="A37" s="600">
        <v>5</v>
      </c>
      <c r="B37" s="601">
        <v>20394290</v>
      </c>
      <c r="C37" s="601">
        <v>69916.3</v>
      </c>
      <c r="D37" s="602">
        <v>1.2</v>
      </c>
      <c r="E37" s="602">
        <v>8.6</v>
      </c>
    </row>
    <row r="38" spans="1:7" ht="16.5" customHeight="1" x14ac:dyDescent="0.3">
      <c r="A38" s="600">
        <v>6</v>
      </c>
      <c r="B38" s="604">
        <v>20416552</v>
      </c>
      <c r="C38" s="604">
        <v>69734.2</v>
      </c>
      <c r="D38" s="605">
        <v>1.2</v>
      </c>
      <c r="E38" s="605">
        <v>8.6</v>
      </c>
    </row>
    <row r="39" spans="1:7" ht="16.5" customHeight="1" x14ac:dyDescent="0.3">
      <c r="A39" s="606" t="s">
        <v>15</v>
      </c>
      <c r="B39" s="607">
        <f>AVERAGE(B33:B38)</f>
        <v>20385187.166666668</v>
      </c>
      <c r="C39" s="608">
        <f>AVERAGE(C33:C38)</f>
        <v>69803.583333333328</v>
      </c>
      <c r="D39" s="609">
        <f>AVERAGE(D33:D38)</f>
        <v>1.2</v>
      </c>
      <c r="E39" s="609">
        <f>AVERAGE(E33:E38)</f>
        <v>8.6</v>
      </c>
    </row>
    <row r="40" spans="1:7" ht="16.5" customHeight="1" x14ac:dyDescent="0.3">
      <c r="A40" s="610" t="s">
        <v>16</v>
      </c>
      <c r="B40" s="611">
        <f>(STDEV(B33:B38)/B39)</f>
        <v>1.956772181042793E-3</v>
      </c>
      <c r="C40" s="612"/>
      <c r="D40" s="612"/>
      <c r="E40" s="613"/>
    </row>
    <row r="41" spans="1:7" s="588" customFormat="1" ht="16.5" customHeight="1" x14ac:dyDescent="0.3">
      <c r="A41" s="614" t="s">
        <v>17</v>
      </c>
      <c r="B41" s="615">
        <f>COUNT(B33:B38)</f>
        <v>6</v>
      </c>
      <c r="C41" s="616"/>
      <c r="D41" s="617"/>
      <c r="E41" s="618"/>
    </row>
    <row r="42" spans="1:7" s="588" customFormat="1" ht="15.75" customHeight="1" x14ac:dyDescent="0.25">
      <c r="A42" s="593"/>
      <c r="B42" s="593"/>
      <c r="C42" s="593"/>
      <c r="D42" s="593"/>
      <c r="E42" s="593"/>
    </row>
    <row r="43" spans="1:7" s="588" customFormat="1" ht="16.5" customHeight="1" x14ac:dyDescent="0.3">
      <c r="A43" s="594" t="s">
        <v>18</v>
      </c>
      <c r="B43" s="619" t="s">
        <v>19</v>
      </c>
      <c r="C43" s="620"/>
      <c r="D43" s="620"/>
      <c r="E43" s="620"/>
    </row>
    <row r="44" spans="1:7" ht="16.5" customHeight="1" x14ac:dyDescent="0.3">
      <c r="A44" s="594"/>
      <c r="B44" s="619" t="s">
        <v>20</v>
      </c>
      <c r="C44" s="620"/>
      <c r="D44" s="620"/>
      <c r="E44" s="620"/>
    </row>
    <row r="45" spans="1:7" ht="16.5" customHeight="1" x14ac:dyDescent="0.3">
      <c r="A45" s="594"/>
      <c r="B45" s="619" t="s">
        <v>21</v>
      </c>
      <c r="C45" s="620"/>
      <c r="D45" s="620"/>
      <c r="E45" s="620"/>
    </row>
    <row r="46" spans="1:7" ht="14.25" customHeight="1" thickBot="1" x14ac:dyDescent="0.3">
      <c r="A46" s="621"/>
      <c r="B46" s="622"/>
      <c r="D46" s="623"/>
      <c r="F46" s="624"/>
      <c r="G46" s="624"/>
    </row>
    <row r="47" spans="1:7" ht="15" customHeight="1" x14ac:dyDescent="0.3">
      <c r="B47" s="724" t="s">
        <v>23</v>
      </c>
      <c r="C47" s="724"/>
      <c r="E47" s="625" t="s">
        <v>24</v>
      </c>
      <c r="F47" s="626"/>
      <c r="G47" s="625" t="s">
        <v>25</v>
      </c>
    </row>
    <row r="48" spans="1:7" ht="15" customHeight="1" x14ac:dyDescent="0.3">
      <c r="A48" s="627" t="s">
        <v>26</v>
      </c>
      <c r="B48" s="628"/>
      <c r="C48" s="628"/>
      <c r="E48" s="628"/>
      <c r="G48" s="628"/>
    </row>
    <row r="49" spans="1:7" ht="15" customHeight="1" x14ac:dyDescent="0.3">
      <c r="A49" s="627" t="s">
        <v>27</v>
      </c>
      <c r="B49" s="629"/>
      <c r="C49" s="629"/>
      <c r="E49" s="629"/>
      <c r="G49" s="630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1" zoomScale="60" zoomScaleNormal="60" zoomScalePageLayoutView="41" workbookViewId="0">
      <selection activeCell="A107" sqref="A107:H124"/>
    </sheetView>
  </sheetViews>
  <sheetFormatPr defaultColWidth="9.140625" defaultRowHeight="13.5" x14ac:dyDescent="0.2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 x14ac:dyDescent="0.25">
      <c r="A1" s="728" t="s">
        <v>42</v>
      </c>
      <c r="B1" s="728"/>
      <c r="C1" s="728"/>
      <c r="D1" s="728"/>
      <c r="E1" s="728"/>
      <c r="F1" s="728"/>
      <c r="G1" s="728"/>
      <c r="H1" s="728"/>
      <c r="I1" s="728"/>
    </row>
    <row r="2" spans="1:9" ht="18.75" customHeight="1" x14ac:dyDescent="0.25">
      <c r="A2" s="728"/>
      <c r="B2" s="728"/>
      <c r="C2" s="728"/>
      <c r="D2" s="728"/>
      <c r="E2" s="728"/>
      <c r="F2" s="728"/>
      <c r="G2" s="728"/>
      <c r="H2" s="728"/>
      <c r="I2" s="728"/>
    </row>
    <row r="3" spans="1:9" ht="18.75" customHeight="1" x14ac:dyDescent="0.25">
      <c r="A3" s="728"/>
      <c r="B3" s="728"/>
      <c r="C3" s="728"/>
      <c r="D3" s="728"/>
      <c r="E3" s="728"/>
      <c r="F3" s="728"/>
      <c r="G3" s="728"/>
      <c r="H3" s="728"/>
      <c r="I3" s="728"/>
    </row>
    <row r="4" spans="1:9" ht="18.75" customHeight="1" x14ac:dyDescent="0.25">
      <c r="A4" s="728"/>
      <c r="B4" s="728"/>
      <c r="C4" s="728"/>
      <c r="D4" s="728"/>
      <c r="E4" s="728"/>
      <c r="F4" s="728"/>
      <c r="G4" s="728"/>
      <c r="H4" s="728"/>
      <c r="I4" s="728"/>
    </row>
    <row r="5" spans="1:9" ht="18.75" customHeight="1" x14ac:dyDescent="0.25">
      <c r="A5" s="728"/>
      <c r="B5" s="728"/>
      <c r="C5" s="728"/>
      <c r="D5" s="728"/>
      <c r="E5" s="728"/>
      <c r="F5" s="728"/>
      <c r="G5" s="728"/>
      <c r="H5" s="728"/>
      <c r="I5" s="728"/>
    </row>
    <row r="6" spans="1:9" ht="18.75" customHeight="1" x14ac:dyDescent="0.25">
      <c r="A6" s="728"/>
      <c r="B6" s="728"/>
      <c r="C6" s="728"/>
      <c r="D6" s="728"/>
      <c r="E6" s="728"/>
      <c r="F6" s="728"/>
      <c r="G6" s="728"/>
      <c r="H6" s="728"/>
      <c r="I6" s="728"/>
    </row>
    <row r="7" spans="1:9" ht="18.75" customHeight="1" x14ac:dyDescent="0.25">
      <c r="A7" s="728"/>
      <c r="B7" s="728"/>
      <c r="C7" s="728"/>
      <c r="D7" s="728"/>
      <c r="E7" s="728"/>
      <c r="F7" s="728"/>
      <c r="G7" s="728"/>
      <c r="H7" s="728"/>
      <c r="I7" s="728"/>
    </row>
    <row r="8" spans="1:9" x14ac:dyDescent="0.25">
      <c r="A8" s="729" t="s">
        <v>43</v>
      </c>
      <c r="B8" s="729"/>
      <c r="C8" s="729"/>
      <c r="D8" s="729"/>
      <c r="E8" s="729"/>
      <c r="F8" s="729"/>
      <c r="G8" s="729"/>
      <c r="H8" s="729"/>
      <c r="I8" s="729"/>
    </row>
    <row r="9" spans="1:9" x14ac:dyDescent="0.25">
      <c r="A9" s="729"/>
      <c r="B9" s="729"/>
      <c r="C9" s="729"/>
      <c r="D9" s="729"/>
      <c r="E9" s="729"/>
      <c r="F9" s="729"/>
      <c r="G9" s="729"/>
      <c r="H9" s="729"/>
      <c r="I9" s="729"/>
    </row>
    <row r="10" spans="1:9" x14ac:dyDescent="0.25">
      <c r="A10" s="729"/>
      <c r="B10" s="729"/>
      <c r="C10" s="729"/>
      <c r="D10" s="729"/>
      <c r="E10" s="729"/>
      <c r="F10" s="729"/>
      <c r="G10" s="729"/>
      <c r="H10" s="729"/>
      <c r="I10" s="729"/>
    </row>
    <row r="11" spans="1:9" x14ac:dyDescent="0.25">
      <c r="A11" s="729"/>
      <c r="B11" s="729"/>
      <c r="C11" s="729"/>
      <c r="D11" s="729"/>
      <c r="E11" s="729"/>
      <c r="F11" s="729"/>
      <c r="G11" s="729"/>
      <c r="H11" s="729"/>
      <c r="I11" s="729"/>
    </row>
    <row r="12" spans="1:9" x14ac:dyDescent="0.25">
      <c r="A12" s="729"/>
      <c r="B12" s="729"/>
      <c r="C12" s="729"/>
      <c r="D12" s="729"/>
      <c r="E12" s="729"/>
      <c r="F12" s="729"/>
      <c r="G12" s="729"/>
      <c r="H12" s="729"/>
      <c r="I12" s="729"/>
    </row>
    <row r="13" spans="1:9" x14ac:dyDescent="0.25">
      <c r="A13" s="729"/>
      <c r="B13" s="729"/>
      <c r="C13" s="729"/>
      <c r="D13" s="729"/>
      <c r="E13" s="729"/>
      <c r="F13" s="729"/>
      <c r="G13" s="729"/>
      <c r="H13" s="729"/>
      <c r="I13" s="729"/>
    </row>
    <row r="14" spans="1:9" x14ac:dyDescent="0.25">
      <c r="A14" s="729"/>
      <c r="B14" s="729"/>
      <c r="C14" s="729"/>
      <c r="D14" s="729"/>
      <c r="E14" s="729"/>
      <c r="F14" s="729"/>
      <c r="G14" s="729"/>
      <c r="H14" s="729"/>
      <c r="I14" s="729"/>
    </row>
    <row r="15" spans="1:9" ht="19.5" customHeight="1" thickBot="1" x14ac:dyDescent="0.35">
      <c r="A15" s="167"/>
    </row>
    <row r="16" spans="1:9" ht="19.5" customHeight="1" thickBot="1" x14ac:dyDescent="0.35">
      <c r="A16" s="730" t="s">
        <v>28</v>
      </c>
      <c r="B16" s="731"/>
      <c r="C16" s="731"/>
      <c r="D16" s="731"/>
      <c r="E16" s="731"/>
      <c r="F16" s="731"/>
      <c r="G16" s="731"/>
      <c r="H16" s="732"/>
    </row>
    <row r="17" spans="1:14" ht="20.25" customHeight="1" x14ac:dyDescent="0.25">
      <c r="A17" s="733" t="s">
        <v>44</v>
      </c>
      <c r="B17" s="733"/>
      <c r="C17" s="733"/>
      <c r="D17" s="733"/>
      <c r="E17" s="733"/>
      <c r="F17" s="733"/>
      <c r="G17" s="733"/>
      <c r="H17" s="733"/>
    </row>
    <row r="18" spans="1:14" ht="26.25" customHeight="1" x14ac:dyDescent="0.4">
      <c r="A18" s="169" t="s">
        <v>30</v>
      </c>
      <c r="B18" s="734" t="s">
        <v>122</v>
      </c>
      <c r="C18" s="734"/>
      <c r="D18" s="170"/>
      <c r="E18" s="171"/>
      <c r="F18" s="172"/>
      <c r="G18" s="172"/>
      <c r="H18" s="172"/>
    </row>
    <row r="19" spans="1:14" ht="26.25" customHeight="1" x14ac:dyDescent="0.4">
      <c r="A19" s="169" t="s">
        <v>31</v>
      </c>
      <c r="B19" s="173" t="str">
        <f>'Tenofovir Disoproxil Fumarate'!B19</f>
        <v>NDQB201608071</v>
      </c>
      <c r="C19" s="172">
        <v>29</v>
      </c>
      <c r="D19" s="172"/>
      <c r="E19" s="172"/>
      <c r="F19" s="172"/>
      <c r="G19" s="172"/>
      <c r="H19" s="172"/>
    </row>
    <row r="20" spans="1:14" ht="26.25" customHeight="1" x14ac:dyDescent="0.4">
      <c r="A20" s="169" t="s">
        <v>32</v>
      </c>
      <c r="B20" s="735" t="s">
        <v>123</v>
      </c>
      <c r="C20" s="735"/>
      <c r="D20" s="172"/>
      <c r="E20" s="172"/>
      <c r="F20" s="172"/>
      <c r="G20" s="172"/>
      <c r="H20" s="172"/>
    </row>
    <row r="21" spans="1:14" ht="26.25" customHeight="1" x14ac:dyDescent="0.4">
      <c r="A21" s="169" t="s">
        <v>33</v>
      </c>
      <c r="B21" s="735" t="s">
        <v>9</v>
      </c>
      <c r="C21" s="735"/>
      <c r="D21" s="735"/>
      <c r="E21" s="735"/>
      <c r="F21" s="735"/>
      <c r="G21" s="735"/>
      <c r="H21" s="735"/>
      <c r="I21" s="174"/>
    </row>
    <row r="22" spans="1:14" ht="26.25" customHeight="1" x14ac:dyDescent="0.4">
      <c r="A22" s="169" t="s">
        <v>34</v>
      </c>
      <c r="B22" s="175">
        <f>'Tenofovir Disoproxil Fumarate'!B22</f>
        <v>42591</v>
      </c>
      <c r="C22" s="172"/>
      <c r="D22" s="172"/>
      <c r="E22" s="172"/>
      <c r="F22" s="172"/>
      <c r="G22" s="172"/>
      <c r="H22" s="172"/>
    </row>
    <row r="23" spans="1:14" ht="26.25" customHeight="1" x14ac:dyDescent="0.4">
      <c r="A23" s="169" t="s">
        <v>35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 x14ac:dyDescent="0.3">
      <c r="A24" s="169"/>
      <c r="B24" s="176"/>
    </row>
    <row r="25" spans="1:14" ht="18.75" x14ac:dyDescent="0.3">
      <c r="A25" s="177" t="s">
        <v>1</v>
      </c>
      <c r="B25" s="176"/>
    </row>
    <row r="26" spans="1:14" ht="26.25" customHeight="1" x14ac:dyDescent="0.4">
      <c r="A26" s="178" t="s">
        <v>4</v>
      </c>
      <c r="B26" s="734" t="s">
        <v>126</v>
      </c>
      <c r="C26" s="734"/>
    </row>
    <row r="27" spans="1:14" ht="26.25" customHeight="1" x14ac:dyDescent="0.4">
      <c r="A27" s="179" t="s">
        <v>45</v>
      </c>
      <c r="B27" s="736" t="s">
        <v>135</v>
      </c>
      <c r="C27" s="736"/>
    </row>
    <row r="28" spans="1:14" ht="27" customHeight="1" thickBot="1" x14ac:dyDescent="0.45">
      <c r="A28" s="179" t="s">
        <v>6</v>
      </c>
      <c r="B28" s="180">
        <v>100</v>
      </c>
    </row>
    <row r="29" spans="1:14" s="182" customFormat="1" ht="27" customHeight="1" thickBot="1" x14ac:dyDescent="0.45">
      <c r="A29" s="179" t="s">
        <v>46</v>
      </c>
      <c r="B29" s="181">
        <v>0</v>
      </c>
      <c r="C29" s="737" t="s">
        <v>47</v>
      </c>
      <c r="D29" s="738"/>
      <c r="E29" s="738"/>
      <c r="F29" s="738"/>
      <c r="G29" s="739"/>
      <c r="I29" s="183"/>
      <c r="J29" s="183"/>
      <c r="K29" s="183"/>
      <c r="L29" s="183"/>
    </row>
    <row r="30" spans="1:14" s="182" customFormat="1" ht="19.5" customHeight="1" thickBot="1" x14ac:dyDescent="0.35">
      <c r="A30" s="179" t="s">
        <v>48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 x14ac:dyDescent="0.45">
      <c r="A31" s="179" t="s">
        <v>49</v>
      </c>
      <c r="B31" s="187">
        <v>1</v>
      </c>
      <c r="C31" s="725" t="s">
        <v>50</v>
      </c>
      <c r="D31" s="726"/>
      <c r="E31" s="726"/>
      <c r="F31" s="726"/>
      <c r="G31" s="726"/>
      <c r="H31" s="727"/>
      <c r="I31" s="183"/>
      <c r="J31" s="183"/>
      <c r="K31" s="183"/>
      <c r="L31" s="183"/>
    </row>
    <row r="32" spans="1:14" s="182" customFormat="1" ht="27" customHeight="1" thickBot="1" x14ac:dyDescent="0.45">
      <c r="A32" s="179" t="s">
        <v>51</v>
      </c>
      <c r="B32" s="187">
        <v>1</v>
      </c>
      <c r="C32" s="725" t="s">
        <v>52</v>
      </c>
      <c r="D32" s="726"/>
      <c r="E32" s="726"/>
      <c r="F32" s="726"/>
      <c r="G32" s="726"/>
      <c r="H32" s="727"/>
      <c r="I32" s="183"/>
      <c r="J32" s="183"/>
      <c r="K32" s="183"/>
      <c r="L32" s="188"/>
      <c r="M32" s="188"/>
      <c r="N32" s="189"/>
    </row>
    <row r="33" spans="1:14" s="182" customFormat="1" ht="17.25" customHeight="1" x14ac:dyDescent="0.3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 x14ac:dyDescent="0.3">
      <c r="A34" s="179" t="s">
        <v>53</v>
      </c>
      <c r="B34" s="192">
        <f>B31/B32</f>
        <v>1</v>
      </c>
      <c r="C34" s="167" t="s">
        <v>54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 x14ac:dyDescent="0.35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 x14ac:dyDescent="0.45">
      <c r="A36" s="193" t="s">
        <v>55</v>
      </c>
      <c r="B36" s="194">
        <v>50</v>
      </c>
      <c r="C36" s="167"/>
      <c r="D36" s="740" t="s">
        <v>56</v>
      </c>
      <c r="E36" s="741"/>
      <c r="F36" s="740" t="s">
        <v>57</v>
      </c>
      <c r="G36" s="742"/>
      <c r="J36" s="183"/>
      <c r="K36" s="183"/>
      <c r="L36" s="188"/>
      <c r="M36" s="188"/>
      <c r="N36" s="189"/>
    </row>
    <row r="37" spans="1:14" s="182" customFormat="1" ht="27" customHeight="1" thickBot="1" x14ac:dyDescent="0.45">
      <c r="A37" s="195" t="s">
        <v>58</v>
      </c>
      <c r="B37" s="196">
        <v>10</v>
      </c>
      <c r="C37" s="197" t="s">
        <v>59</v>
      </c>
      <c r="D37" s="198" t="s">
        <v>60</v>
      </c>
      <c r="E37" s="199" t="s">
        <v>61</v>
      </c>
      <c r="F37" s="198" t="s">
        <v>60</v>
      </c>
      <c r="G37" s="200" t="s">
        <v>61</v>
      </c>
      <c r="I37" s="201" t="s">
        <v>62</v>
      </c>
      <c r="J37" s="183"/>
      <c r="K37" s="183"/>
      <c r="L37" s="188"/>
      <c r="M37" s="188"/>
      <c r="N37" s="189"/>
    </row>
    <row r="38" spans="1:14" s="182" customFormat="1" ht="26.25" customHeight="1" x14ac:dyDescent="0.4">
      <c r="A38" s="195" t="s">
        <v>63</v>
      </c>
      <c r="B38" s="196">
        <v>25</v>
      </c>
      <c r="C38" s="202">
        <v>1</v>
      </c>
      <c r="D38" s="203">
        <v>43500995</v>
      </c>
      <c r="E38" s="204">
        <f>IF(ISBLANK(D38),"-",$D$48/$D$45*D38)</f>
        <v>44908115.9669649</v>
      </c>
      <c r="F38" s="203">
        <v>46216415</v>
      </c>
      <c r="G38" s="205">
        <f>IF(ISBLANK(F38),"-",$D$48/$F$45*F38)</f>
        <v>45668394.268774703</v>
      </c>
      <c r="I38" s="206"/>
      <c r="J38" s="183"/>
      <c r="K38" s="183"/>
      <c r="L38" s="188"/>
      <c r="M38" s="188"/>
      <c r="N38" s="189"/>
    </row>
    <row r="39" spans="1:14" s="182" customFormat="1" ht="26.25" customHeight="1" x14ac:dyDescent="0.4">
      <c r="A39" s="195" t="s">
        <v>64</v>
      </c>
      <c r="B39" s="196">
        <v>1</v>
      </c>
      <c r="C39" s="207">
        <v>2</v>
      </c>
      <c r="D39" s="208">
        <v>43526849</v>
      </c>
      <c r="E39" s="209">
        <f>IF(ISBLANK(D39),"-",$D$48/$D$45*D39)</f>
        <v>44934806.262904339</v>
      </c>
      <c r="F39" s="208">
        <v>46374993</v>
      </c>
      <c r="G39" s="210">
        <f>IF(ISBLANK(F39),"-",$D$48/$F$45*F39)</f>
        <v>45825091.897233203</v>
      </c>
      <c r="I39" s="743">
        <f>ABS((F43/D43*D42)-F42)/D42</f>
        <v>1.6838104759094055E-2</v>
      </c>
      <c r="J39" s="183"/>
      <c r="K39" s="183"/>
      <c r="L39" s="188"/>
      <c r="M39" s="188"/>
      <c r="N39" s="189"/>
    </row>
    <row r="40" spans="1:14" ht="26.25" customHeight="1" x14ac:dyDescent="0.4">
      <c r="A40" s="195" t="s">
        <v>65</v>
      </c>
      <c r="B40" s="196">
        <v>1</v>
      </c>
      <c r="C40" s="207">
        <v>3</v>
      </c>
      <c r="D40" s="208">
        <v>43673669</v>
      </c>
      <c r="E40" s="209">
        <f>IF(ISBLANK(D40),"-",$D$48/$D$45*D40)</f>
        <v>45086375.430144526</v>
      </c>
      <c r="F40" s="208">
        <v>46157807</v>
      </c>
      <c r="G40" s="210">
        <f>IF(ISBLANK(F40),"-",$D$48/$F$45*F40)</f>
        <v>45610481.225296445</v>
      </c>
      <c r="I40" s="743"/>
      <c r="L40" s="188"/>
      <c r="M40" s="188"/>
      <c r="N40" s="167"/>
    </row>
    <row r="41" spans="1:14" ht="27" customHeight="1" thickBot="1" x14ac:dyDescent="0.45">
      <c r="A41" s="195" t="s">
        <v>66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 x14ac:dyDescent="0.45">
      <c r="A42" s="195" t="s">
        <v>67</v>
      </c>
      <c r="B42" s="196">
        <v>1</v>
      </c>
      <c r="C42" s="216" t="s">
        <v>68</v>
      </c>
      <c r="D42" s="217">
        <f>AVERAGE(D38:D41)</f>
        <v>43567171</v>
      </c>
      <c r="E42" s="218">
        <f>AVERAGE(E38:E41)</f>
        <v>44976432.553337924</v>
      </c>
      <c r="F42" s="217">
        <f>AVERAGE(F38:F41)</f>
        <v>46249738.333333336</v>
      </c>
      <c r="G42" s="219">
        <f>AVERAGE(G38:G41)</f>
        <v>45701322.463768117</v>
      </c>
      <c r="H42" s="220"/>
    </row>
    <row r="43" spans="1:14" ht="26.25" customHeight="1" x14ac:dyDescent="0.4">
      <c r="A43" s="195" t="s">
        <v>69</v>
      </c>
      <c r="B43" s="196">
        <v>1</v>
      </c>
      <c r="C43" s="221" t="s">
        <v>70</v>
      </c>
      <c r="D43" s="222">
        <v>14.53</v>
      </c>
      <c r="E43" s="167"/>
      <c r="F43" s="222">
        <v>15.18</v>
      </c>
      <c r="H43" s="220"/>
    </row>
    <row r="44" spans="1:14" ht="26.25" customHeight="1" x14ac:dyDescent="0.4">
      <c r="A44" s="195" t="s">
        <v>71</v>
      </c>
      <c r="B44" s="196">
        <v>1</v>
      </c>
      <c r="C44" s="223" t="s">
        <v>72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 x14ac:dyDescent="0.35">
      <c r="A45" s="195" t="s">
        <v>73</v>
      </c>
      <c r="B45" s="207">
        <f>(B44/B43)*(B42/B41)*(B40/B39)*(B38/B37)*B36</f>
        <v>125</v>
      </c>
      <c r="C45" s="223" t="s">
        <v>74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 x14ac:dyDescent="0.35">
      <c r="A46" s="744" t="s">
        <v>75</v>
      </c>
      <c r="B46" s="745"/>
      <c r="C46" s="223" t="s">
        <v>76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 x14ac:dyDescent="0.45">
      <c r="A47" s="746"/>
      <c r="B47" s="747"/>
      <c r="C47" s="231" t="s">
        <v>77</v>
      </c>
      <c r="D47" s="232">
        <v>0.12</v>
      </c>
      <c r="E47" s="233"/>
      <c r="F47" s="229"/>
      <c r="H47" s="220"/>
    </row>
    <row r="48" spans="1:14" ht="18.75" x14ac:dyDescent="0.3">
      <c r="C48" s="234" t="s">
        <v>78</v>
      </c>
      <c r="D48" s="226">
        <f>D47*$B$45</f>
        <v>15</v>
      </c>
      <c r="F48" s="235"/>
      <c r="H48" s="220"/>
    </row>
    <row r="49" spans="1:12" ht="19.5" customHeight="1" thickBot="1" x14ac:dyDescent="0.35">
      <c r="C49" s="236" t="s">
        <v>79</v>
      </c>
      <c r="D49" s="237">
        <f>D48/B34</f>
        <v>15</v>
      </c>
      <c r="F49" s="235"/>
      <c r="H49" s="220"/>
    </row>
    <row r="50" spans="1:12" ht="18.75" x14ac:dyDescent="0.3">
      <c r="C50" s="193" t="s">
        <v>80</v>
      </c>
      <c r="D50" s="238">
        <f>AVERAGE(E38:E41,G38:G41)</f>
        <v>45338877.508553021</v>
      </c>
      <c r="F50" s="239"/>
      <c r="H50" s="220"/>
    </row>
    <row r="51" spans="1:12" ht="18.75" x14ac:dyDescent="0.3">
      <c r="C51" s="195" t="s">
        <v>81</v>
      </c>
      <c r="D51" s="240">
        <f>STDEV(E38:E41,G38:G41)/D50</f>
        <v>8.9936037909748561E-3</v>
      </c>
      <c r="F51" s="239"/>
      <c r="H51" s="220"/>
    </row>
    <row r="52" spans="1:12" ht="19.5" customHeight="1" thickBot="1" x14ac:dyDescent="0.35">
      <c r="C52" s="241" t="s">
        <v>17</v>
      </c>
      <c r="D52" s="242">
        <f>COUNT(E38:E41,G38:G41)</f>
        <v>6</v>
      </c>
      <c r="F52" s="239"/>
    </row>
    <row r="54" spans="1:12" ht="18.75" x14ac:dyDescent="0.3">
      <c r="A54" s="243" t="s">
        <v>1</v>
      </c>
      <c r="B54" s="244" t="s">
        <v>82</v>
      </c>
    </row>
    <row r="55" spans="1:12" ht="18.75" x14ac:dyDescent="0.3">
      <c r="A55" s="167" t="s">
        <v>83</v>
      </c>
      <c r="B55" s="245" t="str">
        <f>B21</f>
        <v>Tenofovir Disoproxil Fumarate 300mg, Lamivudine 300mg, Efavirenz 600mg</v>
      </c>
    </row>
    <row r="56" spans="1:12" ht="26.25" customHeight="1" x14ac:dyDescent="0.4">
      <c r="A56" s="245" t="s">
        <v>84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 x14ac:dyDescent="0.3">
      <c r="A57" s="245" t="s">
        <v>85</v>
      </c>
      <c r="B57" s="247">
        <f>'Tenofovir Disoproxil Fumarate'!B57</f>
        <v>1899.8040000000001</v>
      </c>
      <c r="H57" s="225"/>
    </row>
    <row r="58" spans="1:12" ht="19.5" customHeight="1" thickBot="1" x14ac:dyDescent="0.35">
      <c r="H58" s="225"/>
    </row>
    <row r="59" spans="1:12" s="182" customFormat="1" ht="27" customHeight="1" thickBot="1" x14ac:dyDescent="0.45">
      <c r="A59" s="193" t="s">
        <v>86</v>
      </c>
      <c r="B59" s="194">
        <v>100</v>
      </c>
      <c r="C59" s="167"/>
      <c r="D59" s="248" t="s">
        <v>87</v>
      </c>
      <c r="E59" s="249" t="s">
        <v>59</v>
      </c>
      <c r="F59" s="249" t="s">
        <v>60</v>
      </c>
      <c r="G59" s="249" t="s">
        <v>88</v>
      </c>
      <c r="H59" s="197" t="s">
        <v>89</v>
      </c>
      <c r="L59" s="183"/>
    </row>
    <row r="60" spans="1:12" s="182" customFormat="1" ht="26.25" customHeight="1" x14ac:dyDescent="0.4">
      <c r="A60" s="195" t="s">
        <v>90</v>
      </c>
      <c r="B60" s="196">
        <v>4</v>
      </c>
      <c r="C60" s="748" t="s">
        <v>91</v>
      </c>
      <c r="D60" s="751">
        <f>'Tenofovir Disoproxil Fumarate'!D60:D63</f>
        <v>893.36</v>
      </c>
      <c r="E60" s="250">
        <v>1</v>
      </c>
      <c r="F60" s="251"/>
      <c r="G60" s="252" t="str">
        <f>IF(ISBLANK(F60),"-",(F60/$D$50*$D$47*$B$68)*($B$57/$D$60))</f>
        <v>-</v>
      </c>
      <c r="H60" s="253" t="str">
        <f t="shared" ref="H60:H71" si="0">IF(ISBLANK(F60),"-",G60/$B$56)</f>
        <v>-</v>
      </c>
      <c r="L60" s="183"/>
    </row>
    <row r="61" spans="1:12" s="182" customFormat="1" ht="26.25" customHeight="1" x14ac:dyDescent="0.4">
      <c r="A61" s="195" t="s">
        <v>92</v>
      </c>
      <c r="B61" s="196">
        <v>50</v>
      </c>
      <c r="C61" s="749"/>
      <c r="D61" s="752"/>
      <c r="E61" s="254">
        <v>2</v>
      </c>
      <c r="F61" s="208"/>
      <c r="G61" s="255" t="str">
        <f>IF(ISBLANK(F61),"-",(F61/$D$50*$D$47*$B$68)*($B$57/$D$60))</f>
        <v>-</v>
      </c>
      <c r="H61" s="256" t="str">
        <f t="shared" si="0"/>
        <v>-</v>
      </c>
      <c r="L61" s="183"/>
    </row>
    <row r="62" spans="1:12" s="182" customFormat="1" ht="26.25" customHeight="1" x14ac:dyDescent="0.4">
      <c r="A62" s="195" t="s">
        <v>93</v>
      </c>
      <c r="B62" s="196">
        <v>1</v>
      </c>
      <c r="C62" s="749"/>
      <c r="D62" s="752"/>
      <c r="E62" s="254">
        <v>3</v>
      </c>
      <c r="F62" s="257"/>
      <c r="G62" s="255" t="str">
        <f>IF(ISBLANK(F62),"-",(F62/$D$50*$D$47*$B$68)*($B$57/$D$60))</f>
        <v>-</v>
      </c>
      <c r="H62" s="256" t="str">
        <f t="shared" si="0"/>
        <v>-</v>
      </c>
      <c r="L62" s="183"/>
    </row>
    <row r="63" spans="1:12" ht="27" customHeight="1" thickBot="1" x14ac:dyDescent="0.45">
      <c r="A63" s="195" t="s">
        <v>94</v>
      </c>
      <c r="B63" s="196">
        <v>1</v>
      </c>
      <c r="C63" s="750"/>
      <c r="D63" s="753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 x14ac:dyDescent="0.4">
      <c r="A64" s="195" t="s">
        <v>95</v>
      </c>
      <c r="B64" s="196">
        <v>1</v>
      </c>
      <c r="C64" s="748" t="s">
        <v>96</v>
      </c>
      <c r="D64" s="751">
        <f>'Tenofovir Disoproxil Fumarate'!D64:D67</f>
        <v>898.43</v>
      </c>
      <c r="E64" s="250">
        <v>1</v>
      </c>
      <c r="F64" s="251">
        <v>44265949</v>
      </c>
      <c r="G64" s="260">
        <f>IF(ISBLANK(F64),"-",(F64/$D$50*$D$47*$B$68)*($B$57/$D$64))</f>
        <v>309.68118995423305</v>
      </c>
      <c r="H64" s="261">
        <f t="shared" si="0"/>
        <v>1.0322706331807767</v>
      </c>
    </row>
    <row r="65" spans="1:8" ht="26.25" customHeight="1" x14ac:dyDescent="0.4">
      <c r="A65" s="195" t="s">
        <v>97</v>
      </c>
      <c r="B65" s="196">
        <v>1</v>
      </c>
      <c r="C65" s="749"/>
      <c r="D65" s="752"/>
      <c r="E65" s="254">
        <v>2</v>
      </c>
      <c r="F65" s="208">
        <v>44211507</v>
      </c>
      <c r="G65" s="262">
        <f>IF(ISBLANK(F65),"-",(F65/$D$50*$D$47*$B$68)*($B$57/$D$64))</f>
        <v>309.30031789061843</v>
      </c>
      <c r="H65" s="263">
        <f t="shared" si="0"/>
        <v>1.0310010596353947</v>
      </c>
    </row>
    <row r="66" spans="1:8" ht="26.25" customHeight="1" x14ac:dyDescent="0.4">
      <c r="A66" s="195" t="s">
        <v>98</v>
      </c>
      <c r="B66" s="196">
        <v>1</v>
      </c>
      <c r="C66" s="749"/>
      <c r="D66" s="752"/>
      <c r="E66" s="254">
        <v>3</v>
      </c>
      <c r="F66" s="208">
        <v>44219434</v>
      </c>
      <c r="G66" s="262">
        <f>IF(ISBLANK(F66),"-",(F66/$D$50*$D$47*$B$68)*($B$57/$D$64))</f>
        <v>309.35577457568286</v>
      </c>
      <c r="H66" s="263">
        <f t="shared" si="0"/>
        <v>1.0311859152522762</v>
      </c>
    </row>
    <row r="67" spans="1:8" ht="27" customHeight="1" thickBot="1" x14ac:dyDescent="0.45">
      <c r="A67" s="195" t="s">
        <v>99</v>
      </c>
      <c r="B67" s="196">
        <v>1</v>
      </c>
      <c r="C67" s="750"/>
      <c r="D67" s="753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195" t="s">
        <v>100</v>
      </c>
      <c r="B68" s="266">
        <f>(B67/B66)*(B65/B64)*(B63/B62)*(B61/B60)*B59</f>
        <v>1250</v>
      </c>
      <c r="C68" s="748" t="s">
        <v>101</v>
      </c>
      <c r="D68" s="751">
        <f>'Tenofovir Disoproxil Fumarate'!D68:D71</f>
        <v>909.1</v>
      </c>
      <c r="E68" s="250">
        <v>1</v>
      </c>
      <c r="F68" s="251">
        <v>43956534</v>
      </c>
      <c r="G68" s="260">
        <f>IF(ISBLANK(F68),"-",(F68/$D$50*$D$47*$B$68)*($B$57/$D$68))</f>
        <v>303.9072606936607</v>
      </c>
      <c r="H68" s="256">
        <f t="shared" si="0"/>
        <v>1.0130242023122022</v>
      </c>
    </row>
    <row r="69" spans="1:8" ht="27" customHeight="1" thickBot="1" x14ac:dyDescent="0.45">
      <c r="A69" s="241" t="s">
        <v>102</v>
      </c>
      <c r="B69" s="267">
        <f>(D47*B68)/B56*B57</f>
        <v>949.90200000000004</v>
      </c>
      <c r="C69" s="749"/>
      <c r="D69" s="752"/>
      <c r="E69" s="254">
        <v>2</v>
      </c>
      <c r="F69" s="208">
        <v>43946306</v>
      </c>
      <c r="G69" s="262">
        <f>IF(ISBLANK(F69),"-",(F69/$D$50*$D$47*$B$68)*($B$57/$D$68))</f>
        <v>303.83654621325201</v>
      </c>
      <c r="H69" s="256">
        <f t="shared" si="0"/>
        <v>1.0127884873775066</v>
      </c>
    </row>
    <row r="70" spans="1:8" ht="26.25" customHeight="1" x14ac:dyDescent="0.4">
      <c r="A70" s="756" t="s">
        <v>75</v>
      </c>
      <c r="B70" s="757"/>
      <c r="C70" s="749"/>
      <c r="D70" s="752"/>
      <c r="E70" s="254">
        <v>3</v>
      </c>
      <c r="F70" s="208">
        <v>43912033</v>
      </c>
      <c r="G70" s="262">
        <f>IF(ISBLANK(F70),"-",(F70/$D$50*$D$47*$B$68)*($B$57/$D$68))</f>
        <v>303.59958909680262</v>
      </c>
      <c r="H70" s="256">
        <f t="shared" si="0"/>
        <v>1.0119986303226753</v>
      </c>
    </row>
    <row r="71" spans="1:8" ht="27" customHeight="1" thickBot="1" x14ac:dyDescent="0.45">
      <c r="A71" s="758"/>
      <c r="B71" s="759"/>
      <c r="C71" s="754"/>
      <c r="D71" s="753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25"/>
      <c r="B72" s="225"/>
      <c r="C72" s="225"/>
      <c r="D72" s="225"/>
      <c r="E72" s="225"/>
      <c r="F72" s="269" t="s">
        <v>68</v>
      </c>
      <c r="G72" s="270">
        <f>AVERAGE(G60:G71)</f>
        <v>306.61344640404161</v>
      </c>
      <c r="H72" s="271">
        <f>AVERAGE(H60:H71)</f>
        <v>1.0220448213468052</v>
      </c>
    </row>
    <row r="73" spans="1:8" ht="26.25" customHeight="1" x14ac:dyDescent="0.4">
      <c r="C73" s="225"/>
      <c r="D73" s="225"/>
      <c r="E73" s="225"/>
      <c r="F73" s="272" t="s">
        <v>81</v>
      </c>
      <c r="G73" s="273">
        <f>STDEV(G60:G71)/G72</f>
        <v>1.0133427198155007E-2</v>
      </c>
      <c r="H73" s="273">
        <f>STDEV(H60:H71)/H72</f>
        <v>1.0133427198155017E-2</v>
      </c>
    </row>
    <row r="74" spans="1:8" ht="27" customHeight="1" thickBot="1" x14ac:dyDescent="0.45">
      <c r="A74" s="225"/>
      <c r="B74" s="225"/>
      <c r="C74" s="225"/>
      <c r="D74" s="225"/>
      <c r="E74" s="227"/>
      <c r="F74" s="274" t="s">
        <v>17</v>
      </c>
      <c r="G74" s="275">
        <f>COUNT(G60:G71)</f>
        <v>6</v>
      </c>
      <c r="H74" s="275">
        <f>COUNT(H60:H71)</f>
        <v>6</v>
      </c>
    </row>
    <row r="76" spans="1:8" ht="26.25" customHeight="1" x14ac:dyDescent="0.4">
      <c r="A76" s="178" t="s">
        <v>103</v>
      </c>
      <c r="B76" s="179" t="s">
        <v>104</v>
      </c>
      <c r="C76" s="760" t="str">
        <f>B20</f>
        <v xml:space="preserve">Tenofovir Disoproxil Fumarate 300mg, Lamivudine 300mg &amp; Efavirenz 600mg </v>
      </c>
      <c r="D76" s="760"/>
      <c r="E76" s="167" t="s">
        <v>105</v>
      </c>
      <c r="F76" s="167"/>
      <c r="G76" s="276">
        <f>H72</f>
        <v>1.0220448213468052</v>
      </c>
      <c r="H76" s="184"/>
    </row>
    <row r="77" spans="1:8" ht="18.75" x14ac:dyDescent="0.3">
      <c r="A77" s="177" t="s">
        <v>106</v>
      </c>
      <c r="B77" s="177" t="s">
        <v>107</v>
      </c>
    </row>
    <row r="78" spans="1:8" ht="18.75" x14ac:dyDescent="0.3">
      <c r="A78" s="177"/>
      <c r="B78" s="177"/>
    </row>
    <row r="79" spans="1:8" ht="26.25" customHeight="1" x14ac:dyDescent="0.4">
      <c r="A79" s="178" t="s">
        <v>4</v>
      </c>
      <c r="B79" s="755" t="str">
        <f>B26</f>
        <v>Lamivudine</v>
      </c>
      <c r="C79" s="755"/>
    </row>
    <row r="80" spans="1:8" ht="26.25" customHeight="1" x14ac:dyDescent="0.4">
      <c r="A80" s="179" t="s">
        <v>45</v>
      </c>
      <c r="B80" s="755" t="s">
        <v>127</v>
      </c>
      <c r="C80" s="755"/>
    </row>
    <row r="81" spans="1:12" ht="27" customHeight="1" thickBot="1" x14ac:dyDescent="0.45">
      <c r="A81" s="179" t="s">
        <v>6</v>
      </c>
      <c r="B81" s="180">
        <v>84.06</v>
      </c>
    </row>
    <row r="82" spans="1:12" s="182" customFormat="1" ht="27" customHeight="1" thickBot="1" x14ac:dyDescent="0.45">
      <c r="A82" s="179" t="s">
        <v>46</v>
      </c>
      <c r="B82" s="181">
        <v>0</v>
      </c>
      <c r="C82" s="737" t="s">
        <v>47</v>
      </c>
      <c r="D82" s="738"/>
      <c r="E82" s="738"/>
      <c r="F82" s="738"/>
      <c r="G82" s="739"/>
      <c r="I82" s="183"/>
      <c r="J82" s="183"/>
      <c r="K82" s="183"/>
      <c r="L82" s="183"/>
    </row>
    <row r="83" spans="1:12" s="182" customFormat="1" ht="19.5" customHeight="1" thickBot="1" x14ac:dyDescent="0.35">
      <c r="A83" s="179" t="s">
        <v>48</v>
      </c>
      <c r="B83" s="184">
        <f>B81-B82</f>
        <v>84.06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 x14ac:dyDescent="0.45">
      <c r="A84" s="179" t="s">
        <v>49</v>
      </c>
      <c r="B84" s="187">
        <v>1</v>
      </c>
      <c r="C84" s="725" t="s">
        <v>108</v>
      </c>
      <c r="D84" s="726"/>
      <c r="E84" s="726"/>
      <c r="F84" s="726"/>
      <c r="G84" s="726"/>
      <c r="H84" s="727"/>
      <c r="I84" s="183"/>
      <c r="J84" s="183"/>
      <c r="K84" s="183"/>
      <c r="L84" s="183"/>
    </row>
    <row r="85" spans="1:12" s="182" customFormat="1" ht="27" customHeight="1" thickBot="1" x14ac:dyDescent="0.45">
      <c r="A85" s="179" t="s">
        <v>51</v>
      </c>
      <c r="B85" s="187">
        <v>1</v>
      </c>
      <c r="C85" s="725" t="s">
        <v>109</v>
      </c>
      <c r="D85" s="726"/>
      <c r="E85" s="726"/>
      <c r="F85" s="726"/>
      <c r="G85" s="726"/>
      <c r="H85" s="727"/>
      <c r="I85" s="183"/>
      <c r="J85" s="183"/>
      <c r="K85" s="183"/>
      <c r="L85" s="183"/>
    </row>
    <row r="86" spans="1:12" s="182" customFormat="1" ht="18.75" x14ac:dyDescent="0.3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 x14ac:dyDescent="0.3">
      <c r="A87" s="179" t="s">
        <v>53</v>
      </c>
      <c r="B87" s="192">
        <f>B84/B85</f>
        <v>1</v>
      </c>
      <c r="C87" s="167" t="s">
        <v>54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 x14ac:dyDescent="0.35">
      <c r="A88" s="177"/>
      <c r="B88" s="177"/>
    </row>
    <row r="89" spans="1:12" ht="27" customHeight="1" thickBot="1" x14ac:dyDescent="0.45">
      <c r="A89" s="193" t="s">
        <v>55</v>
      </c>
      <c r="B89" s="194">
        <v>25</v>
      </c>
      <c r="D89" s="277" t="s">
        <v>56</v>
      </c>
      <c r="E89" s="278"/>
      <c r="F89" s="740" t="s">
        <v>57</v>
      </c>
      <c r="G89" s="742"/>
    </row>
    <row r="90" spans="1:12" ht="27" customHeight="1" thickBot="1" x14ac:dyDescent="0.45">
      <c r="A90" s="195" t="s">
        <v>58</v>
      </c>
      <c r="B90" s="196">
        <v>10</v>
      </c>
      <c r="C90" s="279" t="s">
        <v>59</v>
      </c>
      <c r="D90" s="198" t="s">
        <v>60</v>
      </c>
      <c r="E90" s="199" t="s">
        <v>61</v>
      </c>
      <c r="F90" s="198" t="s">
        <v>60</v>
      </c>
      <c r="G90" s="280" t="s">
        <v>61</v>
      </c>
      <c r="I90" s="201" t="s">
        <v>62</v>
      </c>
    </row>
    <row r="91" spans="1:12" ht="26.25" customHeight="1" x14ac:dyDescent="0.4">
      <c r="A91" s="195" t="s">
        <v>63</v>
      </c>
      <c r="B91" s="196">
        <v>20</v>
      </c>
      <c r="C91" s="281">
        <v>1</v>
      </c>
      <c r="D91" s="203">
        <v>92067547</v>
      </c>
      <c r="E91" s="204">
        <f>IF(ISBLANK(D91),"-",$D$101/$D$98*D91)</f>
        <v>102680615.40863667</v>
      </c>
      <c r="F91" s="203">
        <v>100618089</v>
      </c>
      <c r="G91" s="205">
        <f>IF(ISBLANK(F91),"-",$D$101/$F$98*F91)</f>
        <v>105615830.07935508</v>
      </c>
      <c r="I91" s="206"/>
    </row>
    <row r="92" spans="1:12" ht="26.25" customHeight="1" x14ac:dyDescent="0.4">
      <c r="A92" s="195" t="s">
        <v>64</v>
      </c>
      <c r="B92" s="196">
        <v>1</v>
      </c>
      <c r="C92" s="225">
        <v>2</v>
      </c>
      <c r="D92" s="208">
        <v>91825326</v>
      </c>
      <c r="E92" s="209">
        <f>IF(ISBLANK(D92),"-",$D$101/$D$98*D92)</f>
        <v>102410472.43040684</v>
      </c>
      <c r="F92" s="208">
        <v>100518821</v>
      </c>
      <c r="G92" s="210">
        <f>IF(ISBLANK(F92),"-",$D$101/$F$98*F92)</f>
        <v>105511631.39774111</v>
      </c>
      <c r="I92" s="743">
        <f>ABS((F96/D96*D95)-F95)/D95</f>
        <v>2.902234470119985E-2</v>
      </c>
    </row>
    <row r="93" spans="1:12" ht="26.25" customHeight="1" x14ac:dyDescent="0.4">
      <c r="A93" s="195" t="s">
        <v>65</v>
      </c>
      <c r="B93" s="196">
        <v>1</v>
      </c>
      <c r="C93" s="225">
        <v>3</v>
      </c>
      <c r="D93" s="208">
        <v>92134179</v>
      </c>
      <c r="E93" s="209">
        <f>IF(ISBLANK(D93),"-",$D$101/$D$98*D93)</f>
        <v>102754928.39935759</v>
      </c>
      <c r="F93" s="208">
        <v>100152785</v>
      </c>
      <c r="G93" s="210">
        <f>IF(ISBLANK(F93),"-",$D$101/$F$98*F93)</f>
        <v>105127414.24192804</v>
      </c>
      <c r="I93" s="743"/>
    </row>
    <row r="94" spans="1:12" ht="27" customHeight="1" thickBot="1" x14ac:dyDescent="0.45">
      <c r="A94" s="195" t="s">
        <v>66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 x14ac:dyDescent="0.45">
      <c r="A95" s="195" t="s">
        <v>67</v>
      </c>
      <c r="B95" s="196">
        <v>1</v>
      </c>
      <c r="C95" s="179" t="s">
        <v>68</v>
      </c>
      <c r="D95" s="284">
        <f>AVERAGE(D91:D94)</f>
        <v>92009017.333333328</v>
      </c>
      <c r="E95" s="218">
        <f>AVERAGE(E91:E94)</f>
        <v>102615338.74613369</v>
      </c>
      <c r="F95" s="285">
        <f>AVERAGE(F91:F94)</f>
        <v>100429898.33333333</v>
      </c>
      <c r="G95" s="286">
        <f>AVERAGE(G91:G94)</f>
        <v>105418291.90634142</v>
      </c>
    </row>
    <row r="96" spans="1:12" ht="26.25" customHeight="1" x14ac:dyDescent="0.4">
      <c r="A96" s="195" t="s">
        <v>69</v>
      </c>
      <c r="B96" s="180">
        <v>1</v>
      </c>
      <c r="C96" s="287" t="s">
        <v>110</v>
      </c>
      <c r="D96" s="288">
        <v>16</v>
      </c>
      <c r="E96" s="167"/>
      <c r="F96" s="222">
        <v>17</v>
      </c>
    </row>
    <row r="97" spans="1:10" ht="26.25" customHeight="1" x14ac:dyDescent="0.4">
      <c r="A97" s="195" t="s">
        <v>71</v>
      </c>
      <c r="B97" s="180">
        <v>1</v>
      </c>
      <c r="C97" s="289" t="s">
        <v>111</v>
      </c>
      <c r="D97" s="290">
        <f>D96*$B$87</f>
        <v>16</v>
      </c>
      <c r="E97" s="225"/>
      <c r="F97" s="224">
        <f>F96*$B$87</f>
        <v>17</v>
      </c>
    </row>
    <row r="98" spans="1:10" ht="19.5" customHeight="1" thickBot="1" x14ac:dyDescent="0.35">
      <c r="A98" s="195" t="s">
        <v>73</v>
      </c>
      <c r="B98" s="225">
        <f>(B97/B96)*(B95/B94)*(B93/B92)*(B91/B90)*B89</f>
        <v>50</v>
      </c>
      <c r="C98" s="289" t="s">
        <v>112</v>
      </c>
      <c r="D98" s="291">
        <f>D97*$B$83/100</f>
        <v>13.4496</v>
      </c>
      <c r="E98" s="227"/>
      <c r="F98" s="226">
        <f>F97*$B$83/100</f>
        <v>14.2902</v>
      </c>
    </row>
    <row r="99" spans="1:10" ht="19.5" customHeight="1" thickBot="1" x14ac:dyDescent="0.35">
      <c r="A99" s="744" t="s">
        <v>75</v>
      </c>
      <c r="B99" s="761"/>
      <c r="C99" s="289" t="s">
        <v>113</v>
      </c>
      <c r="D99" s="292">
        <f>D98/$B$98</f>
        <v>0.26899200000000001</v>
      </c>
      <c r="E99" s="227"/>
      <c r="F99" s="230">
        <f>F98/$B$98</f>
        <v>0.285804</v>
      </c>
      <c r="H99" s="220"/>
    </row>
    <row r="100" spans="1:10" ht="19.5" customHeight="1" thickBot="1" x14ac:dyDescent="0.35">
      <c r="A100" s="746"/>
      <c r="B100" s="762"/>
      <c r="C100" s="289" t="s">
        <v>77</v>
      </c>
      <c r="D100" s="293">
        <f>$B$56/$B$116</f>
        <v>0.3</v>
      </c>
      <c r="F100" s="235"/>
      <c r="G100" s="294"/>
      <c r="H100" s="220"/>
    </row>
    <row r="101" spans="1:10" ht="18.75" x14ac:dyDescent="0.3">
      <c r="C101" s="289" t="s">
        <v>78</v>
      </c>
      <c r="D101" s="290">
        <f>D100*$B$98</f>
        <v>15</v>
      </c>
      <c r="F101" s="235"/>
      <c r="H101" s="220"/>
    </row>
    <row r="102" spans="1:10" ht="19.5" customHeight="1" thickBot="1" x14ac:dyDescent="0.35">
      <c r="C102" s="295" t="s">
        <v>79</v>
      </c>
      <c r="D102" s="296">
        <f>D101/B34</f>
        <v>15</v>
      </c>
      <c r="F102" s="239"/>
      <c r="H102" s="220"/>
      <c r="J102" s="297"/>
    </row>
    <row r="103" spans="1:10" ht="18.75" x14ac:dyDescent="0.3">
      <c r="C103" s="298" t="s">
        <v>114</v>
      </c>
      <c r="D103" s="299">
        <f>AVERAGE(E91:E94,G91:G94)</f>
        <v>104016815.32623756</v>
      </c>
      <c r="F103" s="239"/>
      <c r="G103" s="294"/>
      <c r="H103" s="220"/>
      <c r="J103" s="300"/>
    </row>
    <row r="104" spans="1:10" ht="18.75" x14ac:dyDescent="0.3">
      <c r="C104" s="272" t="s">
        <v>81</v>
      </c>
      <c r="D104" s="301">
        <f>STDEV(E91:E94,G91:G94)/D103</f>
        <v>1.4883053467793134E-2</v>
      </c>
      <c r="F104" s="239"/>
      <c r="H104" s="220"/>
      <c r="J104" s="300"/>
    </row>
    <row r="105" spans="1:10" ht="19.5" customHeight="1" thickBot="1" x14ac:dyDescent="0.35">
      <c r="C105" s="274" t="s">
        <v>17</v>
      </c>
      <c r="D105" s="302">
        <f>COUNT(E91:E94,G91:G94)</f>
        <v>6</v>
      </c>
      <c r="F105" s="239"/>
      <c r="H105" s="220"/>
      <c r="J105" s="300"/>
    </row>
    <row r="106" spans="1:10" ht="19.5" customHeight="1" thickBot="1" x14ac:dyDescent="0.35">
      <c r="A106" s="243"/>
      <c r="B106" s="243"/>
      <c r="C106" s="243"/>
      <c r="D106" s="243"/>
      <c r="E106" s="243"/>
    </row>
    <row r="107" spans="1:10" ht="26.25" customHeight="1" x14ac:dyDescent="0.4">
      <c r="A107" s="193" t="s">
        <v>115</v>
      </c>
      <c r="B107" s="194">
        <v>1000</v>
      </c>
      <c r="C107" s="277" t="s">
        <v>116</v>
      </c>
      <c r="D107" s="303" t="s">
        <v>60</v>
      </c>
      <c r="E107" s="304" t="s">
        <v>117</v>
      </c>
      <c r="F107" s="305" t="s">
        <v>118</v>
      </c>
    </row>
    <row r="108" spans="1:10" ht="26.25" customHeight="1" x14ac:dyDescent="0.4">
      <c r="A108" s="195" t="s">
        <v>119</v>
      </c>
      <c r="B108" s="196">
        <v>1</v>
      </c>
      <c r="C108" s="306">
        <v>1</v>
      </c>
      <c r="D108" s="307">
        <v>102191816</v>
      </c>
      <c r="E108" s="308">
        <f t="shared" ref="E108:E113" si="1">IF(ISBLANK(D108),"-",D108/$D$103*$D$100*$B$116)</f>
        <v>294.73642991131675</v>
      </c>
      <c r="F108" s="309">
        <f t="shared" ref="F108:F113" si="2">IF(ISBLANK(D108), "-", E108/$B$56)</f>
        <v>0.98245476637105578</v>
      </c>
    </row>
    <row r="109" spans="1:10" ht="26.25" customHeight="1" x14ac:dyDescent="0.4">
      <c r="A109" s="195" t="s">
        <v>92</v>
      </c>
      <c r="B109" s="196">
        <v>1</v>
      </c>
      <c r="C109" s="306">
        <v>2</v>
      </c>
      <c r="D109" s="307">
        <v>102144185</v>
      </c>
      <c r="E109" s="310">
        <f t="shared" si="1"/>
        <v>294.59905500750745</v>
      </c>
      <c r="F109" s="311">
        <f t="shared" si="2"/>
        <v>0.98199685002502479</v>
      </c>
    </row>
    <row r="110" spans="1:10" ht="26.25" customHeight="1" x14ac:dyDescent="0.4">
      <c r="A110" s="195" t="s">
        <v>93</v>
      </c>
      <c r="B110" s="196">
        <v>1</v>
      </c>
      <c r="C110" s="306">
        <v>3</v>
      </c>
      <c r="D110" s="307">
        <v>102164164</v>
      </c>
      <c r="E110" s="310">
        <f t="shared" si="1"/>
        <v>294.65667742154881</v>
      </c>
      <c r="F110" s="311">
        <f t="shared" si="2"/>
        <v>0.98218892473849606</v>
      </c>
    </row>
    <row r="111" spans="1:10" ht="26.25" customHeight="1" x14ac:dyDescent="0.4">
      <c r="A111" s="195" t="s">
        <v>94</v>
      </c>
      <c r="B111" s="196">
        <v>1</v>
      </c>
      <c r="C111" s="306">
        <v>4</v>
      </c>
      <c r="D111" s="307">
        <v>102564343</v>
      </c>
      <c r="E111" s="310">
        <f t="shared" si="1"/>
        <v>295.81085330766365</v>
      </c>
      <c r="F111" s="311">
        <f t="shared" si="2"/>
        <v>0.98603617769221219</v>
      </c>
    </row>
    <row r="112" spans="1:10" ht="26.25" customHeight="1" x14ac:dyDescent="0.4">
      <c r="A112" s="195" t="s">
        <v>95</v>
      </c>
      <c r="B112" s="196">
        <v>1</v>
      </c>
      <c r="C112" s="306">
        <v>5</v>
      </c>
      <c r="D112" s="307">
        <v>102007337</v>
      </c>
      <c r="E112" s="310">
        <f t="shared" si="1"/>
        <v>294.20436497713843</v>
      </c>
      <c r="F112" s="311">
        <f t="shared" si="2"/>
        <v>0.98068121659046137</v>
      </c>
    </row>
    <row r="113" spans="1:10" ht="26.25" customHeight="1" x14ac:dyDescent="0.4">
      <c r="A113" s="195" t="s">
        <v>97</v>
      </c>
      <c r="B113" s="196">
        <v>1</v>
      </c>
      <c r="C113" s="312">
        <v>6</v>
      </c>
      <c r="D113" s="313">
        <v>102337998</v>
      </c>
      <c r="E113" s="314">
        <f t="shared" si="1"/>
        <v>295.15804058899857</v>
      </c>
      <c r="F113" s="315">
        <f t="shared" si="2"/>
        <v>0.98386013529666194</v>
      </c>
    </row>
    <row r="114" spans="1:10" ht="26.25" customHeight="1" x14ac:dyDescent="0.4">
      <c r="A114" s="195" t="s">
        <v>98</v>
      </c>
      <c r="B114" s="196">
        <v>1</v>
      </c>
      <c r="C114" s="306"/>
      <c r="D114" s="225"/>
      <c r="E114" s="167"/>
      <c r="F114" s="316"/>
    </row>
    <row r="115" spans="1:10" ht="26.25" customHeight="1" x14ac:dyDescent="0.4">
      <c r="A115" s="195" t="s">
        <v>99</v>
      </c>
      <c r="B115" s="196">
        <v>1</v>
      </c>
      <c r="C115" s="306"/>
      <c r="D115" s="317" t="s">
        <v>68</v>
      </c>
      <c r="E115" s="318">
        <f>AVERAGE(E108:E113)</f>
        <v>294.86090353569563</v>
      </c>
      <c r="F115" s="319">
        <f>AVERAGE(F108:F113)</f>
        <v>0.98286967845231876</v>
      </c>
    </row>
    <row r="116" spans="1:10" ht="27" customHeight="1" thickBot="1" x14ac:dyDescent="0.45">
      <c r="A116" s="195" t="s">
        <v>100</v>
      </c>
      <c r="B116" s="207">
        <f>(B115/B114)*(B113/B112)*(B111/B110)*(B109/B108)*B107</f>
        <v>1000</v>
      </c>
      <c r="C116" s="320"/>
      <c r="D116" s="179" t="s">
        <v>81</v>
      </c>
      <c r="E116" s="321">
        <f>STDEV(E108:E113)/E115</f>
        <v>1.8867474362230497E-3</v>
      </c>
      <c r="F116" s="321">
        <f>STDEV(F108:F113)/F115</f>
        <v>1.8867474362230757E-3</v>
      </c>
      <c r="I116" s="167"/>
    </row>
    <row r="117" spans="1:10" ht="27" customHeight="1" thickBot="1" x14ac:dyDescent="0.45">
      <c r="A117" s="744" t="s">
        <v>75</v>
      </c>
      <c r="B117" s="745"/>
      <c r="C117" s="322"/>
      <c r="D117" s="323" t="s">
        <v>17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 x14ac:dyDescent="0.35">
      <c r="A118" s="746"/>
      <c r="B118" s="747"/>
      <c r="C118" s="167"/>
      <c r="D118" s="167"/>
      <c r="E118" s="167"/>
      <c r="F118" s="225"/>
      <c r="G118" s="167"/>
      <c r="H118" s="167"/>
      <c r="I118" s="167"/>
    </row>
    <row r="119" spans="1:10" ht="18.75" x14ac:dyDescent="0.3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 x14ac:dyDescent="0.4">
      <c r="A120" s="178" t="s">
        <v>103</v>
      </c>
      <c r="B120" s="179" t="s">
        <v>120</v>
      </c>
      <c r="C120" s="760" t="str">
        <f>B20</f>
        <v xml:space="preserve">Tenofovir Disoproxil Fumarate 300mg, Lamivudine 300mg &amp; Efavirenz 600mg </v>
      </c>
      <c r="D120" s="760"/>
      <c r="E120" s="167" t="s">
        <v>121</v>
      </c>
      <c r="F120" s="167"/>
      <c r="G120" s="276">
        <f>F115</f>
        <v>0.98286967845231876</v>
      </c>
      <c r="H120" s="167"/>
      <c r="I120" s="167"/>
    </row>
    <row r="121" spans="1:10" ht="19.5" customHeight="1" thickBot="1" x14ac:dyDescent="0.35">
      <c r="A121" s="326"/>
      <c r="B121" s="326"/>
      <c r="C121" s="327"/>
      <c r="D121" s="327"/>
      <c r="E121" s="327"/>
      <c r="F121" s="327"/>
      <c r="G121" s="327"/>
      <c r="H121" s="327"/>
    </row>
    <row r="122" spans="1:10" ht="18.75" x14ac:dyDescent="0.3">
      <c r="B122" s="763" t="s">
        <v>23</v>
      </c>
      <c r="C122" s="763"/>
      <c r="E122" s="279" t="s">
        <v>24</v>
      </c>
      <c r="F122" s="328"/>
      <c r="G122" s="763" t="s">
        <v>25</v>
      </c>
      <c r="H122" s="763"/>
    </row>
    <row r="123" spans="1:10" ht="69.95" customHeight="1" x14ac:dyDescent="0.3">
      <c r="A123" s="178" t="s">
        <v>26</v>
      </c>
      <c r="B123" s="329"/>
      <c r="C123" s="329"/>
      <c r="E123" s="329"/>
      <c r="F123" s="167"/>
      <c r="G123" s="329"/>
      <c r="H123" s="329"/>
    </row>
    <row r="124" spans="1:10" ht="69.95" customHeight="1" x14ac:dyDescent="0.3">
      <c r="A124" s="178" t="s">
        <v>27</v>
      </c>
      <c r="B124" s="330"/>
      <c r="C124" s="330"/>
      <c r="E124" s="330"/>
      <c r="F124" s="167"/>
      <c r="G124" s="331"/>
      <c r="H124" s="331"/>
    </row>
    <row r="125" spans="1:10" ht="18.75" x14ac:dyDescent="0.3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 x14ac:dyDescent="0.3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 x14ac:dyDescent="0.3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 x14ac:dyDescent="0.3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 x14ac:dyDescent="0.3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 x14ac:dyDescent="0.3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 x14ac:dyDescent="0.3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 x14ac:dyDescent="0.3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 x14ac:dyDescent="0.3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 x14ac:dyDescent="0.25">
      <c r="A250" s="166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28" sqref="B28"/>
    </sheetView>
  </sheetViews>
  <sheetFormatPr defaultRowHeight="13.5" x14ac:dyDescent="0.2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667"/>
  </cols>
  <sheetData>
    <row r="1" spans="1:5" ht="18.75" customHeight="1" x14ac:dyDescent="0.3">
      <c r="A1" s="764" t="s">
        <v>0</v>
      </c>
      <c r="B1" s="764"/>
      <c r="C1" s="764"/>
      <c r="D1" s="764"/>
      <c r="E1" s="764"/>
    </row>
    <row r="2" spans="1:5" ht="16.5" customHeight="1" x14ac:dyDescent="0.3">
      <c r="A2" s="632" t="s">
        <v>1</v>
      </c>
      <c r="B2" s="633" t="s">
        <v>2</v>
      </c>
    </row>
    <row r="3" spans="1:5" ht="16.5" customHeight="1" x14ac:dyDescent="0.3">
      <c r="A3" s="634" t="s">
        <v>3</v>
      </c>
      <c r="B3" s="634" t="s">
        <v>122</v>
      </c>
      <c r="D3" s="635"/>
      <c r="E3" s="636"/>
    </row>
    <row r="4" spans="1:5" ht="16.5" customHeight="1" x14ac:dyDescent="0.3">
      <c r="A4" s="637" t="s">
        <v>4</v>
      </c>
      <c r="B4" s="638" t="s">
        <v>129</v>
      </c>
      <c r="C4" s="636"/>
      <c r="D4" s="636"/>
      <c r="E4" s="636"/>
    </row>
    <row r="5" spans="1:5" ht="16.5" customHeight="1" x14ac:dyDescent="0.3">
      <c r="A5" s="637" t="s">
        <v>6</v>
      </c>
      <c r="B5" s="635">
        <v>99.3</v>
      </c>
      <c r="C5" s="636"/>
      <c r="D5" s="636"/>
      <c r="E5" s="636"/>
    </row>
    <row r="6" spans="1:5" ht="16.5" customHeight="1" x14ac:dyDescent="0.3">
      <c r="A6" s="634" t="s">
        <v>7</v>
      </c>
      <c r="B6" s="638">
        <f>EFFAVIRENZ!D43</f>
        <v>30.34</v>
      </c>
      <c r="C6" s="636"/>
      <c r="D6" s="636"/>
      <c r="E6" s="636"/>
    </row>
    <row r="7" spans="1:5" ht="16.5" customHeight="1" x14ac:dyDescent="0.3">
      <c r="A7" s="634" t="s">
        <v>8</v>
      </c>
      <c r="B7" s="639">
        <f>B6/50*10/25</f>
        <v>0.24271999999999999</v>
      </c>
      <c r="C7" s="636"/>
      <c r="D7" s="636"/>
      <c r="E7" s="636"/>
    </row>
    <row r="8" spans="1:5" ht="15.75" customHeight="1" x14ac:dyDescent="0.25">
      <c r="A8" s="636"/>
      <c r="B8" s="640"/>
      <c r="C8" s="636"/>
      <c r="D8" s="636"/>
      <c r="E8" s="636"/>
    </row>
    <row r="9" spans="1:5" ht="16.5" customHeight="1" x14ac:dyDescent="0.3">
      <c r="A9" s="641" t="s">
        <v>10</v>
      </c>
      <c r="B9" s="642" t="s">
        <v>11</v>
      </c>
      <c r="C9" s="641" t="s">
        <v>12</v>
      </c>
      <c r="D9" s="641" t="s">
        <v>13</v>
      </c>
      <c r="E9" s="641" t="s">
        <v>14</v>
      </c>
    </row>
    <row r="10" spans="1:5" ht="16.5" customHeight="1" x14ac:dyDescent="0.3">
      <c r="A10" s="643">
        <v>1</v>
      </c>
      <c r="B10" s="644">
        <v>10048702</v>
      </c>
      <c r="C10" s="644">
        <v>707609.3</v>
      </c>
      <c r="D10" s="645">
        <v>1</v>
      </c>
      <c r="E10" s="646">
        <v>25</v>
      </c>
    </row>
    <row r="11" spans="1:5" ht="16.5" customHeight="1" x14ac:dyDescent="0.3">
      <c r="A11" s="643">
        <v>2</v>
      </c>
      <c r="B11" s="644">
        <v>10016675</v>
      </c>
      <c r="C11" s="644">
        <v>715287.9</v>
      </c>
      <c r="D11" s="645">
        <v>1</v>
      </c>
      <c r="E11" s="645">
        <v>25</v>
      </c>
    </row>
    <row r="12" spans="1:5" ht="16.5" customHeight="1" x14ac:dyDescent="0.3">
      <c r="A12" s="643">
        <v>3</v>
      </c>
      <c r="B12" s="644">
        <v>10019120</v>
      </c>
      <c r="C12" s="644">
        <v>718425.59999999998</v>
      </c>
      <c r="D12" s="645">
        <v>1</v>
      </c>
      <c r="E12" s="645">
        <v>25</v>
      </c>
    </row>
    <row r="13" spans="1:5" ht="16.5" customHeight="1" x14ac:dyDescent="0.3">
      <c r="A13" s="643">
        <v>4</v>
      </c>
      <c r="B13" s="644">
        <v>10037028</v>
      </c>
      <c r="C13" s="644">
        <v>719176</v>
      </c>
      <c r="D13" s="645">
        <v>1</v>
      </c>
      <c r="E13" s="645">
        <v>25</v>
      </c>
    </row>
    <row r="14" spans="1:5" ht="16.5" customHeight="1" x14ac:dyDescent="0.3">
      <c r="A14" s="643">
        <v>5</v>
      </c>
      <c r="B14" s="644">
        <v>9991138</v>
      </c>
      <c r="C14" s="644">
        <v>719449.1</v>
      </c>
      <c r="D14" s="645">
        <v>1</v>
      </c>
      <c r="E14" s="645">
        <v>25</v>
      </c>
    </row>
    <row r="15" spans="1:5" ht="16.5" customHeight="1" x14ac:dyDescent="0.3">
      <c r="A15" s="643">
        <v>6</v>
      </c>
      <c r="B15" s="647">
        <v>9997797</v>
      </c>
      <c r="C15" s="647">
        <v>721639.7</v>
      </c>
      <c r="D15" s="648">
        <v>1</v>
      </c>
      <c r="E15" s="648">
        <v>25</v>
      </c>
    </row>
    <row r="16" spans="1:5" ht="16.5" customHeight="1" x14ac:dyDescent="0.3">
      <c r="A16" s="649" t="s">
        <v>15</v>
      </c>
      <c r="B16" s="650">
        <f>AVERAGE(B10:B15)</f>
        <v>10018410</v>
      </c>
      <c r="C16" s="651">
        <f>AVERAGE(C10:C15)</f>
        <v>716931.26666666672</v>
      </c>
      <c r="D16" s="652">
        <f>AVERAGE(D10:D15)</f>
        <v>1</v>
      </c>
      <c r="E16" s="652">
        <f>AVERAGE(E10:E15)</f>
        <v>25</v>
      </c>
    </row>
    <row r="17" spans="1:5" ht="16.5" customHeight="1" x14ac:dyDescent="0.3">
      <c r="A17" s="653" t="s">
        <v>16</v>
      </c>
      <c r="B17" s="654">
        <f>(STDEV(B10:B15)/B16)</f>
        <v>2.203388811255657E-3</v>
      </c>
      <c r="C17" s="655"/>
      <c r="D17" s="655"/>
      <c r="E17" s="656"/>
    </row>
    <row r="18" spans="1:5" s="631" customFormat="1" ht="16.5" customHeight="1" x14ac:dyDescent="0.3">
      <c r="A18" s="657" t="s">
        <v>17</v>
      </c>
      <c r="B18" s="658">
        <f>COUNT(B10:B15)</f>
        <v>6</v>
      </c>
      <c r="C18" s="659"/>
      <c r="D18" s="660"/>
      <c r="E18" s="661"/>
    </row>
    <row r="19" spans="1:5" s="631" customFormat="1" ht="15.75" customHeight="1" x14ac:dyDescent="0.25">
      <c r="A19" s="636"/>
      <c r="B19" s="636"/>
      <c r="C19" s="636"/>
      <c r="D19" s="636"/>
      <c r="E19" s="636"/>
    </row>
    <row r="20" spans="1:5" s="631" customFormat="1" ht="16.5" customHeight="1" x14ac:dyDescent="0.3">
      <c r="A20" s="637" t="s">
        <v>18</v>
      </c>
      <c r="B20" s="662" t="s">
        <v>19</v>
      </c>
      <c r="C20" s="663"/>
      <c r="D20" s="663"/>
      <c r="E20" s="663"/>
    </row>
    <row r="21" spans="1:5" ht="16.5" customHeight="1" x14ac:dyDescent="0.3">
      <c r="A21" s="637"/>
      <c r="B21" s="662" t="s">
        <v>20</v>
      </c>
      <c r="C21" s="663"/>
      <c r="D21" s="663"/>
      <c r="E21" s="663"/>
    </row>
    <row r="22" spans="1:5" ht="16.5" customHeight="1" x14ac:dyDescent="0.3">
      <c r="A22" s="637"/>
      <c r="B22" s="662" t="s">
        <v>21</v>
      </c>
      <c r="C22" s="663"/>
      <c r="D22" s="663"/>
      <c r="E22" s="663"/>
    </row>
    <row r="23" spans="1:5" ht="15.75" customHeight="1" x14ac:dyDescent="0.25">
      <c r="A23" s="636"/>
      <c r="B23" s="636"/>
      <c r="C23" s="636"/>
      <c r="D23" s="636"/>
      <c r="E23" s="636"/>
    </row>
    <row r="24" spans="1:5" ht="16.5" customHeight="1" x14ac:dyDescent="0.3">
      <c r="A24" s="632" t="s">
        <v>1</v>
      </c>
      <c r="B24" s="633" t="s">
        <v>22</v>
      </c>
    </row>
    <row r="25" spans="1:5" ht="16.5" customHeight="1" x14ac:dyDescent="0.3">
      <c r="A25" s="637" t="s">
        <v>4</v>
      </c>
      <c r="B25" s="634" t="s">
        <v>129</v>
      </c>
      <c r="C25" s="636"/>
      <c r="D25" s="636"/>
      <c r="E25" s="636"/>
    </row>
    <row r="26" spans="1:5" ht="16.5" customHeight="1" x14ac:dyDescent="0.3">
      <c r="A26" s="637" t="s">
        <v>6</v>
      </c>
      <c r="B26" s="638">
        <v>99.3</v>
      </c>
      <c r="C26" s="636"/>
      <c r="D26" s="636"/>
      <c r="E26" s="636"/>
    </row>
    <row r="27" spans="1:5" ht="16.5" customHeight="1" x14ac:dyDescent="0.3">
      <c r="A27" s="634" t="s">
        <v>7</v>
      </c>
      <c r="B27" s="638">
        <f>EFFAVIRENZ!D96</f>
        <v>27.58</v>
      </c>
      <c r="C27" s="636"/>
      <c r="D27" s="636"/>
      <c r="E27" s="636"/>
    </row>
    <row r="28" spans="1:5" ht="16.5" customHeight="1" x14ac:dyDescent="0.3">
      <c r="A28" s="634" t="s">
        <v>8</v>
      </c>
      <c r="B28" s="639">
        <f>B27/25*10/20</f>
        <v>0.55159999999999998</v>
      </c>
      <c r="C28" s="636"/>
      <c r="D28" s="636"/>
      <c r="E28" s="636"/>
    </row>
    <row r="29" spans="1:5" ht="15.75" customHeight="1" x14ac:dyDescent="0.25">
      <c r="A29" s="636"/>
      <c r="B29" s="636"/>
      <c r="C29" s="636"/>
      <c r="D29" s="636"/>
      <c r="E29" s="636"/>
    </row>
    <row r="30" spans="1:5" ht="16.5" customHeight="1" x14ac:dyDescent="0.3">
      <c r="A30" s="641" t="s">
        <v>10</v>
      </c>
      <c r="B30" s="642" t="s">
        <v>11</v>
      </c>
      <c r="C30" s="641" t="s">
        <v>12</v>
      </c>
      <c r="D30" s="641" t="s">
        <v>13</v>
      </c>
      <c r="E30" s="641" t="s">
        <v>14</v>
      </c>
    </row>
    <row r="31" spans="1:5" ht="16.5" customHeight="1" x14ac:dyDescent="0.3">
      <c r="A31" s="643">
        <v>1</v>
      </c>
      <c r="B31" s="644">
        <v>49314358</v>
      </c>
      <c r="C31" s="644">
        <v>175823.5</v>
      </c>
      <c r="D31" s="645">
        <v>1.1000000000000001</v>
      </c>
      <c r="E31" s="646">
        <v>23.4</v>
      </c>
    </row>
    <row r="32" spans="1:5" ht="16.5" customHeight="1" x14ac:dyDescent="0.3">
      <c r="A32" s="643">
        <v>2</v>
      </c>
      <c r="B32" s="644">
        <v>49164744</v>
      </c>
      <c r="C32" s="644">
        <v>175929.1</v>
      </c>
      <c r="D32" s="645">
        <v>1</v>
      </c>
      <c r="E32" s="645">
        <v>23.4</v>
      </c>
    </row>
    <row r="33" spans="1:7" ht="16.5" customHeight="1" x14ac:dyDescent="0.3">
      <c r="A33" s="643">
        <v>3</v>
      </c>
      <c r="B33" s="644">
        <v>49342190</v>
      </c>
      <c r="C33" s="644">
        <v>175441</v>
      </c>
      <c r="D33" s="645">
        <v>1.1000000000000001</v>
      </c>
      <c r="E33" s="645">
        <v>23.4</v>
      </c>
    </row>
    <row r="34" spans="1:7" ht="16.5" customHeight="1" x14ac:dyDescent="0.3">
      <c r="A34" s="643">
        <v>4</v>
      </c>
      <c r="B34" s="644">
        <v>49151357</v>
      </c>
      <c r="C34" s="644">
        <v>175946.7</v>
      </c>
      <c r="D34" s="645">
        <v>1.1000000000000001</v>
      </c>
      <c r="E34" s="645">
        <v>23.4</v>
      </c>
    </row>
    <row r="35" spans="1:7" ht="16.5" customHeight="1" x14ac:dyDescent="0.3">
      <c r="A35" s="643">
        <v>5</v>
      </c>
      <c r="B35" s="644">
        <v>49365418</v>
      </c>
      <c r="C35" s="644">
        <v>176163.9</v>
      </c>
      <c r="D35" s="645">
        <v>1</v>
      </c>
      <c r="E35" s="645">
        <v>23.4</v>
      </c>
    </row>
    <row r="36" spans="1:7" ht="16.5" customHeight="1" x14ac:dyDescent="0.3">
      <c r="A36" s="643">
        <v>6</v>
      </c>
      <c r="B36" s="647">
        <v>49423463</v>
      </c>
      <c r="C36" s="647">
        <v>176309.2</v>
      </c>
      <c r="D36" s="648">
        <v>1.1000000000000001</v>
      </c>
      <c r="E36" s="648">
        <v>23.4</v>
      </c>
    </row>
    <row r="37" spans="1:7" ht="16.5" customHeight="1" x14ac:dyDescent="0.3">
      <c r="A37" s="649" t="s">
        <v>15</v>
      </c>
      <c r="B37" s="650">
        <f>AVERAGE(B31:B36)</f>
        <v>49293588.333333336</v>
      </c>
      <c r="C37" s="651">
        <f>AVERAGE(C31:C36)</f>
        <v>175935.56666666668</v>
      </c>
      <c r="D37" s="652">
        <f>AVERAGE(D31:D36)</f>
        <v>1.0666666666666667</v>
      </c>
      <c r="E37" s="652">
        <f>AVERAGE(E31:E36)</f>
        <v>23.400000000000002</v>
      </c>
    </row>
    <row r="38" spans="1:7" ht="16.5" customHeight="1" x14ac:dyDescent="0.3">
      <c r="A38" s="653" t="s">
        <v>16</v>
      </c>
      <c r="B38" s="654">
        <f>(STDEV(B31:B36)/B37)</f>
        <v>2.2526555371855011E-3</v>
      </c>
      <c r="C38" s="655"/>
      <c r="D38" s="655"/>
      <c r="E38" s="656"/>
    </row>
    <row r="39" spans="1:7" s="631" customFormat="1" ht="16.5" customHeight="1" x14ac:dyDescent="0.3">
      <c r="A39" s="657" t="s">
        <v>17</v>
      </c>
      <c r="B39" s="658">
        <f>COUNT(B31:B36)</f>
        <v>6</v>
      </c>
      <c r="C39" s="659"/>
      <c r="D39" s="660"/>
      <c r="E39" s="661"/>
    </row>
    <row r="40" spans="1:7" s="631" customFormat="1" ht="15.75" customHeight="1" x14ac:dyDescent="0.25">
      <c r="A40" s="636"/>
      <c r="B40" s="636"/>
      <c r="C40" s="636"/>
      <c r="D40" s="636"/>
      <c r="E40" s="636"/>
    </row>
    <row r="41" spans="1:7" s="631" customFormat="1" ht="16.5" customHeight="1" x14ac:dyDescent="0.3">
      <c r="A41" s="637" t="s">
        <v>18</v>
      </c>
      <c r="B41" s="662" t="s">
        <v>19</v>
      </c>
      <c r="C41" s="663"/>
      <c r="D41" s="663"/>
      <c r="E41" s="663"/>
    </row>
    <row r="42" spans="1:7" ht="16.5" customHeight="1" x14ac:dyDescent="0.3">
      <c r="A42" s="637"/>
      <c r="B42" s="662" t="s">
        <v>20</v>
      </c>
      <c r="C42" s="663"/>
      <c r="D42" s="663"/>
      <c r="E42" s="663"/>
    </row>
    <row r="43" spans="1:7" ht="16.5" customHeight="1" x14ac:dyDescent="0.3">
      <c r="A43" s="637"/>
      <c r="B43" s="662" t="s">
        <v>21</v>
      </c>
      <c r="C43" s="663"/>
      <c r="D43" s="663"/>
      <c r="E43" s="663"/>
    </row>
    <row r="44" spans="1:7" ht="14.25" customHeight="1" thickBot="1" x14ac:dyDescent="0.3">
      <c r="A44" s="664"/>
      <c r="B44" s="665"/>
      <c r="D44" s="666"/>
      <c r="F44" s="667"/>
      <c r="G44" s="667"/>
    </row>
    <row r="45" spans="1:7" ht="15" customHeight="1" x14ac:dyDescent="0.3">
      <c r="B45" s="765" t="s">
        <v>23</v>
      </c>
      <c r="C45" s="765"/>
      <c r="E45" s="668" t="s">
        <v>24</v>
      </c>
      <c r="F45" s="669"/>
      <c r="G45" s="668" t="s">
        <v>25</v>
      </c>
    </row>
    <row r="46" spans="1:7" ht="15" customHeight="1" x14ac:dyDescent="0.3">
      <c r="A46" s="670" t="s">
        <v>26</v>
      </c>
      <c r="B46" s="671"/>
      <c r="C46" s="671"/>
      <c r="E46" s="671"/>
      <c r="G46" s="671"/>
    </row>
    <row r="47" spans="1:7" ht="15" customHeight="1" x14ac:dyDescent="0.3">
      <c r="A47" s="670" t="s">
        <v>27</v>
      </c>
      <c r="B47" s="672"/>
      <c r="C47" s="672"/>
      <c r="E47" s="672"/>
      <c r="G47" s="67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2" zoomScale="60" zoomScaleNormal="60" zoomScalePageLayoutView="42" workbookViewId="0">
      <selection activeCell="D113" sqref="D113"/>
    </sheetView>
  </sheetViews>
  <sheetFormatPr defaultColWidth="9.140625" defaultRowHeight="13.5" x14ac:dyDescent="0.2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 x14ac:dyDescent="0.25">
      <c r="A1" s="769" t="s">
        <v>42</v>
      </c>
      <c r="B1" s="769"/>
      <c r="C1" s="769"/>
      <c r="D1" s="769"/>
      <c r="E1" s="769"/>
      <c r="F1" s="769"/>
      <c r="G1" s="769"/>
      <c r="H1" s="769"/>
      <c r="I1" s="769"/>
    </row>
    <row r="2" spans="1:9" ht="18.75" customHeight="1" x14ac:dyDescent="0.25">
      <c r="A2" s="769"/>
      <c r="B2" s="769"/>
      <c r="C2" s="769"/>
      <c r="D2" s="769"/>
      <c r="E2" s="769"/>
      <c r="F2" s="769"/>
      <c r="G2" s="769"/>
      <c r="H2" s="769"/>
      <c r="I2" s="769"/>
    </row>
    <row r="3" spans="1:9" ht="18.75" customHeight="1" x14ac:dyDescent="0.25">
      <c r="A3" s="769"/>
      <c r="B3" s="769"/>
      <c r="C3" s="769"/>
      <c r="D3" s="769"/>
      <c r="E3" s="769"/>
      <c r="F3" s="769"/>
      <c r="G3" s="769"/>
      <c r="H3" s="769"/>
      <c r="I3" s="769"/>
    </row>
    <row r="4" spans="1:9" ht="18.75" customHeight="1" x14ac:dyDescent="0.25">
      <c r="A4" s="769"/>
      <c r="B4" s="769"/>
      <c r="C4" s="769"/>
      <c r="D4" s="769"/>
      <c r="E4" s="769"/>
      <c r="F4" s="769"/>
      <c r="G4" s="769"/>
      <c r="H4" s="769"/>
      <c r="I4" s="769"/>
    </row>
    <row r="5" spans="1:9" ht="18.75" customHeight="1" x14ac:dyDescent="0.25">
      <c r="A5" s="769"/>
      <c r="B5" s="769"/>
      <c r="C5" s="769"/>
      <c r="D5" s="769"/>
      <c r="E5" s="769"/>
      <c r="F5" s="769"/>
      <c r="G5" s="769"/>
      <c r="H5" s="769"/>
      <c r="I5" s="769"/>
    </row>
    <row r="6" spans="1:9" ht="18.75" customHeight="1" x14ac:dyDescent="0.25">
      <c r="A6" s="769"/>
      <c r="B6" s="769"/>
      <c r="C6" s="769"/>
      <c r="D6" s="769"/>
      <c r="E6" s="769"/>
      <c r="F6" s="769"/>
      <c r="G6" s="769"/>
      <c r="H6" s="769"/>
      <c r="I6" s="769"/>
    </row>
    <row r="7" spans="1:9" ht="18.75" customHeight="1" x14ac:dyDescent="0.25">
      <c r="A7" s="769"/>
      <c r="B7" s="769"/>
      <c r="C7" s="769"/>
      <c r="D7" s="769"/>
      <c r="E7" s="769"/>
      <c r="F7" s="769"/>
      <c r="G7" s="769"/>
      <c r="H7" s="769"/>
      <c r="I7" s="769"/>
    </row>
    <row r="8" spans="1:9" x14ac:dyDescent="0.25">
      <c r="A8" s="770" t="s">
        <v>43</v>
      </c>
      <c r="B8" s="770"/>
      <c r="C8" s="770"/>
      <c r="D8" s="770"/>
      <c r="E8" s="770"/>
      <c r="F8" s="770"/>
      <c r="G8" s="770"/>
      <c r="H8" s="770"/>
      <c r="I8" s="770"/>
    </row>
    <row r="9" spans="1:9" x14ac:dyDescent="0.25">
      <c r="A9" s="770"/>
      <c r="B9" s="770"/>
      <c r="C9" s="770"/>
      <c r="D9" s="770"/>
      <c r="E9" s="770"/>
      <c r="F9" s="770"/>
      <c r="G9" s="770"/>
      <c r="H9" s="770"/>
      <c r="I9" s="770"/>
    </row>
    <row r="10" spans="1:9" x14ac:dyDescent="0.25">
      <c r="A10" s="770"/>
      <c r="B10" s="770"/>
      <c r="C10" s="770"/>
      <c r="D10" s="770"/>
      <c r="E10" s="770"/>
      <c r="F10" s="770"/>
      <c r="G10" s="770"/>
      <c r="H10" s="770"/>
      <c r="I10" s="770"/>
    </row>
    <row r="11" spans="1:9" x14ac:dyDescent="0.25">
      <c r="A11" s="770"/>
      <c r="B11" s="770"/>
      <c r="C11" s="770"/>
      <c r="D11" s="770"/>
      <c r="E11" s="770"/>
      <c r="F11" s="770"/>
      <c r="G11" s="770"/>
      <c r="H11" s="770"/>
      <c r="I11" s="770"/>
    </row>
    <row r="12" spans="1:9" x14ac:dyDescent="0.25">
      <c r="A12" s="770"/>
      <c r="B12" s="770"/>
      <c r="C12" s="770"/>
      <c r="D12" s="770"/>
      <c r="E12" s="770"/>
      <c r="F12" s="770"/>
      <c r="G12" s="770"/>
      <c r="H12" s="770"/>
      <c r="I12" s="770"/>
    </row>
    <row r="13" spans="1:9" x14ac:dyDescent="0.25">
      <c r="A13" s="770"/>
      <c r="B13" s="770"/>
      <c r="C13" s="770"/>
      <c r="D13" s="770"/>
      <c r="E13" s="770"/>
      <c r="F13" s="770"/>
      <c r="G13" s="770"/>
      <c r="H13" s="770"/>
      <c r="I13" s="770"/>
    </row>
    <row r="14" spans="1:9" x14ac:dyDescent="0.25">
      <c r="A14" s="770"/>
      <c r="B14" s="770"/>
      <c r="C14" s="770"/>
      <c r="D14" s="770"/>
      <c r="E14" s="770"/>
      <c r="F14" s="770"/>
      <c r="G14" s="770"/>
      <c r="H14" s="770"/>
      <c r="I14" s="770"/>
    </row>
    <row r="15" spans="1:9" ht="19.5" customHeight="1" thickBot="1" x14ac:dyDescent="0.35">
      <c r="A15" s="333"/>
    </row>
    <row r="16" spans="1:9" ht="19.5" customHeight="1" thickBot="1" x14ac:dyDescent="0.35">
      <c r="A16" s="771" t="s">
        <v>28</v>
      </c>
      <c r="B16" s="772"/>
      <c r="C16" s="772"/>
      <c r="D16" s="772"/>
      <c r="E16" s="772"/>
      <c r="F16" s="772"/>
      <c r="G16" s="772"/>
      <c r="H16" s="773"/>
    </row>
    <row r="17" spans="1:14" ht="20.25" customHeight="1" x14ac:dyDescent="0.25">
      <c r="A17" s="774" t="s">
        <v>44</v>
      </c>
      <c r="B17" s="774"/>
      <c r="C17" s="774"/>
      <c r="D17" s="774"/>
      <c r="E17" s="774"/>
      <c r="F17" s="774"/>
      <c r="G17" s="774"/>
      <c r="H17" s="774"/>
    </row>
    <row r="18" spans="1:14" ht="26.25" customHeight="1" x14ac:dyDescent="0.4">
      <c r="A18" s="335" t="s">
        <v>30</v>
      </c>
      <c r="B18" s="775" t="s">
        <v>122</v>
      </c>
      <c r="C18" s="775"/>
      <c r="D18" s="336"/>
      <c r="E18" s="337"/>
      <c r="F18" s="338"/>
      <c r="G18" s="338"/>
      <c r="H18" s="338"/>
    </row>
    <row r="19" spans="1:14" ht="26.25" customHeight="1" x14ac:dyDescent="0.4">
      <c r="A19" s="335" t="s">
        <v>31</v>
      </c>
      <c r="B19" s="339" t="str">
        <f>'Tenofovir Disoproxil Fumarate'!B19</f>
        <v>NDQB201608071</v>
      </c>
      <c r="C19" s="338">
        <v>29</v>
      </c>
      <c r="D19" s="338"/>
      <c r="E19" s="338"/>
      <c r="F19" s="338"/>
      <c r="G19" s="338"/>
      <c r="H19" s="338"/>
    </row>
    <row r="20" spans="1:14" ht="26.25" customHeight="1" x14ac:dyDescent="0.4">
      <c r="A20" s="335" t="s">
        <v>32</v>
      </c>
      <c r="B20" s="776" t="s">
        <v>123</v>
      </c>
      <c r="C20" s="776"/>
      <c r="D20" s="338"/>
      <c r="E20" s="338"/>
      <c r="F20" s="338"/>
      <c r="G20" s="338"/>
      <c r="H20" s="338"/>
    </row>
    <row r="21" spans="1:14" ht="26.25" customHeight="1" x14ac:dyDescent="0.4">
      <c r="A21" s="335" t="s">
        <v>33</v>
      </c>
      <c r="B21" s="776" t="s">
        <v>9</v>
      </c>
      <c r="C21" s="776"/>
      <c r="D21" s="776"/>
      <c r="E21" s="776"/>
      <c r="F21" s="776"/>
      <c r="G21" s="776"/>
      <c r="H21" s="776"/>
      <c r="I21" s="340"/>
    </row>
    <row r="22" spans="1:14" ht="26.25" customHeight="1" x14ac:dyDescent="0.4">
      <c r="A22" s="335" t="s">
        <v>34</v>
      </c>
      <c r="B22" s="341">
        <f>'Tenofovir Disoproxil Fumarate'!B22</f>
        <v>42591</v>
      </c>
      <c r="C22" s="338"/>
      <c r="D22" s="338"/>
      <c r="E22" s="338"/>
      <c r="F22" s="338"/>
      <c r="G22" s="338"/>
      <c r="H22" s="338"/>
    </row>
    <row r="23" spans="1:14" ht="26.25" customHeight="1" x14ac:dyDescent="0.4">
      <c r="A23" s="335" t="s">
        <v>35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 x14ac:dyDescent="0.3">
      <c r="A24" s="335"/>
      <c r="B24" s="342"/>
    </row>
    <row r="25" spans="1:14" ht="18.75" x14ac:dyDescent="0.3">
      <c r="A25" s="343" t="s">
        <v>1</v>
      </c>
      <c r="B25" s="342"/>
    </row>
    <row r="26" spans="1:14" ht="26.25" customHeight="1" x14ac:dyDescent="0.4">
      <c r="A26" s="344" t="s">
        <v>4</v>
      </c>
      <c r="B26" s="775" t="s">
        <v>128</v>
      </c>
      <c r="C26" s="775"/>
    </row>
    <row r="27" spans="1:14" ht="26.25" customHeight="1" x14ac:dyDescent="0.4">
      <c r="A27" s="345" t="s">
        <v>45</v>
      </c>
      <c r="B27" s="777" t="s">
        <v>136</v>
      </c>
      <c r="C27" s="777"/>
    </row>
    <row r="28" spans="1:14" ht="27" customHeight="1" thickBot="1" x14ac:dyDescent="0.45">
      <c r="A28" s="345" t="s">
        <v>6</v>
      </c>
      <c r="B28" s="346">
        <v>99.3</v>
      </c>
    </row>
    <row r="29" spans="1:14" s="348" customFormat="1" ht="27" customHeight="1" thickBot="1" x14ac:dyDescent="0.45">
      <c r="A29" s="345" t="s">
        <v>46</v>
      </c>
      <c r="B29" s="347">
        <v>0</v>
      </c>
      <c r="C29" s="778" t="s">
        <v>47</v>
      </c>
      <c r="D29" s="779"/>
      <c r="E29" s="779"/>
      <c r="F29" s="779"/>
      <c r="G29" s="780"/>
      <c r="I29" s="349"/>
      <c r="J29" s="349"/>
      <c r="K29" s="349"/>
      <c r="L29" s="349"/>
    </row>
    <row r="30" spans="1:14" s="348" customFormat="1" ht="19.5" customHeight="1" thickBot="1" x14ac:dyDescent="0.35">
      <c r="A30" s="345" t="s">
        <v>48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 x14ac:dyDescent="0.45">
      <c r="A31" s="345" t="s">
        <v>49</v>
      </c>
      <c r="B31" s="353">
        <v>1</v>
      </c>
      <c r="C31" s="766" t="s">
        <v>50</v>
      </c>
      <c r="D31" s="767"/>
      <c r="E31" s="767"/>
      <c r="F31" s="767"/>
      <c r="G31" s="767"/>
      <c r="H31" s="768"/>
      <c r="I31" s="349"/>
      <c r="J31" s="349"/>
      <c r="K31" s="349"/>
      <c r="L31" s="349"/>
    </row>
    <row r="32" spans="1:14" s="348" customFormat="1" ht="27" customHeight="1" thickBot="1" x14ac:dyDescent="0.45">
      <c r="A32" s="345" t="s">
        <v>51</v>
      </c>
      <c r="B32" s="353">
        <v>1</v>
      </c>
      <c r="C32" s="766" t="s">
        <v>52</v>
      </c>
      <c r="D32" s="767"/>
      <c r="E32" s="767"/>
      <c r="F32" s="767"/>
      <c r="G32" s="767"/>
      <c r="H32" s="768"/>
      <c r="I32" s="349"/>
      <c r="J32" s="349"/>
      <c r="K32" s="349"/>
      <c r="L32" s="354"/>
      <c r="M32" s="354"/>
      <c r="N32" s="355"/>
    </row>
    <row r="33" spans="1:14" s="348" customFormat="1" ht="17.25" customHeight="1" x14ac:dyDescent="0.3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 x14ac:dyDescent="0.3">
      <c r="A34" s="345" t="s">
        <v>53</v>
      </c>
      <c r="B34" s="358">
        <f>B31/B32</f>
        <v>1</v>
      </c>
      <c r="C34" s="333" t="s">
        <v>54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 x14ac:dyDescent="0.35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 x14ac:dyDescent="0.45">
      <c r="A36" s="359" t="s">
        <v>55</v>
      </c>
      <c r="B36" s="360">
        <v>50</v>
      </c>
      <c r="C36" s="333"/>
      <c r="D36" s="781" t="s">
        <v>56</v>
      </c>
      <c r="E36" s="782"/>
      <c r="F36" s="781" t="s">
        <v>57</v>
      </c>
      <c r="G36" s="783"/>
      <c r="J36" s="349"/>
      <c r="K36" s="349"/>
      <c r="L36" s="354"/>
      <c r="M36" s="354"/>
      <c r="N36" s="355"/>
    </row>
    <row r="37" spans="1:14" s="348" customFormat="1" ht="27" customHeight="1" thickBot="1" x14ac:dyDescent="0.45">
      <c r="A37" s="361" t="s">
        <v>58</v>
      </c>
      <c r="B37" s="362">
        <v>10</v>
      </c>
      <c r="C37" s="363" t="s">
        <v>59</v>
      </c>
      <c r="D37" s="364" t="s">
        <v>60</v>
      </c>
      <c r="E37" s="365" t="s">
        <v>61</v>
      </c>
      <c r="F37" s="364" t="s">
        <v>60</v>
      </c>
      <c r="G37" s="366" t="s">
        <v>61</v>
      </c>
      <c r="I37" s="367" t="s">
        <v>62</v>
      </c>
      <c r="J37" s="349"/>
      <c r="K37" s="349"/>
      <c r="L37" s="354"/>
      <c r="M37" s="354"/>
      <c r="N37" s="355"/>
    </row>
    <row r="38" spans="1:14" s="348" customFormat="1" ht="26.25" customHeight="1" x14ac:dyDescent="0.4">
      <c r="A38" s="361" t="s">
        <v>63</v>
      </c>
      <c r="B38" s="362">
        <v>25</v>
      </c>
      <c r="C38" s="368">
        <v>1</v>
      </c>
      <c r="D38" s="369">
        <v>10016244</v>
      </c>
      <c r="E38" s="370">
        <f>IF(ISBLANK(D38),"-",$D$48/$D$45*D38)</f>
        <v>9973815.3893337753</v>
      </c>
      <c r="F38" s="369">
        <v>10385234</v>
      </c>
      <c r="G38" s="371">
        <f>IF(ISBLANK(F38),"-",$D$48/$F$45*F38)</f>
        <v>9906955.8904755116</v>
      </c>
      <c r="I38" s="372"/>
      <c r="J38" s="349"/>
      <c r="K38" s="349"/>
      <c r="L38" s="354"/>
      <c r="M38" s="354"/>
      <c r="N38" s="355"/>
    </row>
    <row r="39" spans="1:14" s="348" customFormat="1" ht="26.25" customHeight="1" x14ac:dyDescent="0.4">
      <c r="A39" s="361" t="s">
        <v>64</v>
      </c>
      <c r="B39" s="362">
        <v>1</v>
      </c>
      <c r="C39" s="373">
        <v>2</v>
      </c>
      <c r="D39" s="374">
        <v>9988687</v>
      </c>
      <c r="E39" s="375">
        <f>IF(ISBLANK(D39),"-",$D$48/$D$45*D39)</f>
        <v>9946375.1202385053</v>
      </c>
      <c r="F39" s="374">
        <v>10397646</v>
      </c>
      <c r="G39" s="376">
        <f>IF(ISBLANK(F39),"-",$D$48/$F$45*F39)</f>
        <v>9918796.2723593079</v>
      </c>
      <c r="I39" s="784">
        <f>ABS((F43/D43*D42)-F42)/D42</f>
        <v>7.1679102728748915E-3</v>
      </c>
      <c r="J39" s="349"/>
      <c r="K39" s="349"/>
      <c r="L39" s="354"/>
      <c r="M39" s="354"/>
      <c r="N39" s="355"/>
    </row>
    <row r="40" spans="1:14" ht="26.25" customHeight="1" x14ac:dyDescent="0.4">
      <c r="A40" s="361" t="s">
        <v>65</v>
      </c>
      <c r="B40" s="362">
        <v>1</v>
      </c>
      <c r="C40" s="373">
        <v>3</v>
      </c>
      <c r="D40" s="374">
        <v>9994107</v>
      </c>
      <c r="E40" s="375">
        <f>IF(ISBLANK(D40),"-",$D$48/$D$45*D40)</f>
        <v>9951772.1612261441</v>
      </c>
      <c r="F40" s="374">
        <v>10316181</v>
      </c>
      <c r="G40" s="376">
        <f>IF(ISBLANK(F40),"-",$D$48/$F$45*F40)</f>
        <v>9841083.0343506522</v>
      </c>
      <c r="I40" s="784"/>
      <c r="L40" s="354"/>
      <c r="M40" s="354"/>
      <c r="N40" s="333"/>
    </row>
    <row r="41" spans="1:14" ht="27" customHeight="1" thickBot="1" x14ac:dyDescent="0.45">
      <c r="A41" s="361" t="s">
        <v>66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 x14ac:dyDescent="0.45">
      <c r="A42" s="361" t="s">
        <v>67</v>
      </c>
      <c r="B42" s="362">
        <v>1</v>
      </c>
      <c r="C42" s="382" t="s">
        <v>68</v>
      </c>
      <c r="D42" s="383">
        <f>AVERAGE(D38:D41)</f>
        <v>9999679.333333334</v>
      </c>
      <c r="E42" s="384">
        <f>AVERAGE(E38:E41)</f>
        <v>9957320.8902661428</v>
      </c>
      <c r="F42" s="383">
        <f>AVERAGE(F38:F41)</f>
        <v>10366353.666666666</v>
      </c>
      <c r="G42" s="385">
        <f>AVERAGE(G38:G41)</f>
        <v>9888945.0657284912</v>
      </c>
      <c r="H42" s="386"/>
    </row>
    <row r="43" spans="1:14" ht="26.25" customHeight="1" x14ac:dyDescent="0.4">
      <c r="A43" s="361" t="s">
        <v>69</v>
      </c>
      <c r="B43" s="362">
        <v>1</v>
      </c>
      <c r="C43" s="387" t="s">
        <v>70</v>
      </c>
      <c r="D43" s="388">
        <v>30.34</v>
      </c>
      <c r="E43" s="333"/>
      <c r="F43" s="388">
        <v>31.67</v>
      </c>
      <c r="H43" s="386"/>
    </row>
    <row r="44" spans="1:14" ht="26.25" customHeight="1" x14ac:dyDescent="0.4">
      <c r="A44" s="361" t="s">
        <v>71</v>
      </c>
      <c r="B44" s="362">
        <v>1</v>
      </c>
      <c r="C44" s="389" t="s">
        <v>72</v>
      </c>
      <c r="D44" s="390">
        <f>D43*$B$34</f>
        <v>30.34</v>
      </c>
      <c r="E44" s="391"/>
      <c r="F44" s="390">
        <f>F43*$B$34</f>
        <v>31.67</v>
      </c>
      <c r="H44" s="386"/>
    </row>
    <row r="45" spans="1:14" ht="19.5" customHeight="1" thickBot="1" x14ac:dyDescent="0.35">
      <c r="A45" s="361" t="s">
        <v>73</v>
      </c>
      <c r="B45" s="373">
        <f>(B44/B43)*(B42/B41)*(B40/B39)*(B38/B37)*B36</f>
        <v>125</v>
      </c>
      <c r="C45" s="389" t="s">
        <v>74</v>
      </c>
      <c r="D45" s="392">
        <f>D44*$B$30/100</f>
        <v>30.127619999999997</v>
      </c>
      <c r="E45" s="393"/>
      <c r="F45" s="392">
        <f>F44*$B$30/100</f>
        <v>31.448310000000003</v>
      </c>
      <c r="H45" s="386"/>
    </row>
    <row r="46" spans="1:14" ht="19.5" customHeight="1" thickBot="1" x14ac:dyDescent="0.35">
      <c r="A46" s="785" t="s">
        <v>75</v>
      </c>
      <c r="B46" s="786"/>
      <c r="C46" s="389" t="s">
        <v>76</v>
      </c>
      <c r="D46" s="394">
        <f>D45/$B$45</f>
        <v>0.24102095999999998</v>
      </c>
      <c r="E46" s="395"/>
      <c r="F46" s="396">
        <f>F45/$B$45</f>
        <v>0.25158648</v>
      </c>
      <c r="H46" s="386"/>
    </row>
    <row r="47" spans="1:14" ht="27" customHeight="1" thickBot="1" x14ac:dyDescent="0.45">
      <c r="A47" s="787"/>
      <c r="B47" s="788"/>
      <c r="C47" s="397" t="s">
        <v>77</v>
      </c>
      <c r="D47" s="398">
        <v>0.24</v>
      </c>
      <c r="E47" s="399"/>
      <c r="F47" s="395"/>
      <c r="H47" s="386"/>
    </row>
    <row r="48" spans="1:14" ht="18.75" x14ac:dyDescent="0.3">
      <c r="C48" s="400" t="s">
        <v>78</v>
      </c>
      <c r="D48" s="392">
        <f>D47*$B$45</f>
        <v>30</v>
      </c>
      <c r="F48" s="401"/>
      <c r="H48" s="386"/>
    </row>
    <row r="49" spans="1:12" ht="19.5" customHeight="1" thickBot="1" x14ac:dyDescent="0.35">
      <c r="C49" s="402" t="s">
        <v>79</v>
      </c>
      <c r="D49" s="403">
        <f>D48/B34</f>
        <v>30</v>
      </c>
      <c r="F49" s="401"/>
      <c r="H49" s="386"/>
    </row>
    <row r="50" spans="1:12" ht="18.75" x14ac:dyDescent="0.3">
      <c r="C50" s="359" t="s">
        <v>80</v>
      </c>
      <c r="D50" s="404">
        <f>AVERAGE(E38:E41,G38:G41)</f>
        <v>9923132.977997316</v>
      </c>
      <c r="F50" s="405"/>
      <c r="H50" s="386"/>
    </row>
    <row r="51" spans="1:12" ht="18.75" x14ac:dyDescent="0.3">
      <c r="C51" s="361" t="s">
        <v>81</v>
      </c>
      <c r="D51" s="406">
        <f>STDEV(E38:E41,G38:G41)/D50</f>
        <v>4.7142290164345112E-3</v>
      </c>
      <c r="F51" s="405"/>
      <c r="H51" s="386"/>
    </row>
    <row r="52" spans="1:12" ht="19.5" customHeight="1" thickBot="1" x14ac:dyDescent="0.35">
      <c r="C52" s="407" t="s">
        <v>17</v>
      </c>
      <c r="D52" s="408">
        <f>COUNT(E38:E41,G38:G41)</f>
        <v>6</v>
      </c>
      <c r="F52" s="405"/>
    </row>
    <row r="54" spans="1:12" ht="18.75" x14ac:dyDescent="0.3">
      <c r="A54" s="409" t="s">
        <v>1</v>
      </c>
      <c r="B54" s="410" t="s">
        <v>82</v>
      </c>
    </row>
    <row r="55" spans="1:12" ht="18.75" x14ac:dyDescent="0.3">
      <c r="A55" s="333" t="s">
        <v>83</v>
      </c>
      <c r="B55" s="411" t="str">
        <f>B21</f>
        <v>Tenofovir Disoproxil Fumarate 300mg, Lamivudine 300mg, Efavirenz 600mg</v>
      </c>
    </row>
    <row r="56" spans="1:12" ht="26.25" customHeight="1" x14ac:dyDescent="0.4">
      <c r="A56" s="411" t="s">
        <v>84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 x14ac:dyDescent="0.3">
      <c r="A57" s="411" t="s">
        <v>85</v>
      </c>
      <c r="B57" s="413">
        <f>'Tenofovir Disoproxil Fumarate'!B57</f>
        <v>1899.8040000000001</v>
      </c>
      <c r="H57" s="391"/>
    </row>
    <row r="58" spans="1:12" ht="19.5" customHeight="1" thickBot="1" x14ac:dyDescent="0.35">
      <c r="H58" s="391"/>
    </row>
    <row r="59" spans="1:12" s="348" customFormat="1" ht="27" customHeight="1" thickBot="1" x14ac:dyDescent="0.45">
      <c r="A59" s="359" t="s">
        <v>86</v>
      </c>
      <c r="B59" s="360">
        <v>100</v>
      </c>
      <c r="C59" s="333"/>
      <c r="D59" s="414" t="s">
        <v>87</v>
      </c>
      <c r="E59" s="415" t="s">
        <v>59</v>
      </c>
      <c r="F59" s="415" t="s">
        <v>60</v>
      </c>
      <c r="G59" s="415" t="s">
        <v>88</v>
      </c>
      <c r="H59" s="363" t="s">
        <v>89</v>
      </c>
      <c r="L59" s="349"/>
    </row>
    <row r="60" spans="1:12" s="348" customFormat="1" ht="26.25" customHeight="1" x14ac:dyDescent="0.4">
      <c r="A60" s="361" t="s">
        <v>90</v>
      </c>
      <c r="B60" s="362">
        <v>4</v>
      </c>
      <c r="C60" s="789" t="s">
        <v>91</v>
      </c>
      <c r="D60" s="792">
        <f>Lamivudine!D60</f>
        <v>893.36</v>
      </c>
      <c r="E60" s="416">
        <v>1</v>
      </c>
      <c r="F60" s="417">
        <v>8901182</v>
      </c>
      <c r="G60" s="418">
        <f>IF(ISBLANK(F60),"-",(F60/$D$50*$D$47*$B$68)*($B$57/$D$60))</f>
        <v>572.27189682326389</v>
      </c>
      <c r="H60" s="419">
        <f t="shared" ref="H60:H71" si="0">IF(ISBLANK(F60),"-",G60/$B$56)</f>
        <v>0.95378649470543986</v>
      </c>
      <c r="L60" s="349"/>
    </row>
    <row r="61" spans="1:12" s="348" customFormat="1" ht="26.25" customHeight="1" x14ac:dyDescent="0.4">
      <c r="A61" s="361" t="s">
        <v>92</v>
      </c>
      <c r="B61" s="362">
        <v>50</v>
      </c>
      <c r="C61" s="790"/>
      <c r="D61" s="793"/>
      <c r="E61" s="420">
        <v>2</v>
      </c>
      <c r="F61" s="374">
        <v>8918492</v>
      </c>
      <c r="G61" s="421">
        <f>IF(ISBLANK(F61),"-",(F61/$D$50*$D$47*$B$68)*($B$57/$D$60))</f>
        <v>573.38478571083078</v>
      </c>
      <c r="H61" s="422">
        <f t="shared" si="0"/>
        <v>0.95564130951805126</v>
      </c>
      <c r="L61" s="349"/>
    </row>
    <row r="62" spans="1:12" s="348" customFormat="1" ht="26.25" customHeight="1" x14ac:dyDescent="0.4">
      <c r="A62" s="361" t="s">
        <v>93</v>
      </c>
      <c r="B62" s="362">
        <v>1</v>
      </c>
      <c r="C62" s="790"/>
      <c r="D62" s="793"/>
      <c r="E62" s="420">
        <v>3</v>
      </c>
      <c r="F62" s="423">
        <v>8907038</v>
      </c>
      <c r="G62" s="421">
        <f>IF(ISBLANK(F62),"-",(F62/$D$50*$D$47*$B$68)*($B$57/$D$60))</f>
        <v>572.64838886980294</v>
      </c>
      <c r="H62" s="422">
        <f t="shared" si="0"/>
        <v>0.9544139814496716</v>
      </c>
      <c r="L62" s="349"/>
    </row>
    <row r="63" spans="1:12" ht="27" customHeight="1" thickBot="1" x14ac:dyDescent="0.45">
      <c r="A63" s="361" t="s">
        <v>94</v>
      </c>
      <c r="B63" s="362">
        <v>1</v>
      </c>
      <c r="C63" s="791"/>
      <c r="D63" s="794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61" t="s">
        <v>95</v>
      </c>
      <c r="B64" s="362">
        <v>1</v>
      </c>
      <c r="C64" s="789" t="s">
        <v>96</v>
      </c>
      <c r="D64" s="792">
        <f>Lamivudine!D64</f>
        <v>898.43</v>
      </c>
      <c r="E64" s="416">
        <v>1</v>
      </c>
      <c r="F64" s="417">
        <v>9172637</v>
      </c>
      <c r="G64" s="426">
        <f>IF(ISBLANK(F64),"-",(F64/$D$50*$D$47*$B$68)*($B$57/$D$64))</f>
        <v>586.39627503104907</v>
      </c>
      <c r="H64" s="427">
        <f t="shared" si="0"/>
        <v>0.97732712505174846</v>
      </c>
    </row>
    <row r="65" spans="1:8" ht="26.25" customHeight="1" x14ac:dyDescent="0.4">
      <c r="A65" s="361" t="s">
        <v>97</v>
      </c>
      <c r="B65" s="362">
        <v>1</v>
      </c>
      <c r="C65" s="790"/>
      <c r="D65" s="793"/>
      <c r="E65" s="420">
        <v>2</v>
      </c>
      <c r="F65" s="374">
        <v>9149484</v>
      </c>
      <c r="G65" s="428">
        <f>IF(ISBLANK(F65),"-",(F65/$D$50*$D$47*$B$68)*($B$57/$D$64))</f>
        <v>584.91613001323219</v>
      </c>
      <c r="H65" s="429">
        <f t="shared" si="0"/>
        <v>0.97486021668872036</v>
      </c>
    </row>
    <row r="66" spans="1:8" ht="26.25" customHeight="1" x14ac:dyDescent="0.4">
      <c r="A66" s="361" t="s">
        <v>98</v>
      </c>
      <c r="B66" s="362">
        <v>1</v>
      </c>
      <c r="C66" s="790"/>
      <c r="D66" s="793"/>
      <c r="E66" s="420">
        <v>3</v>
      </c>
      <c r="F66" s="374">
        <v>9150708</v>
      </c>
      <c r="G66" s="428">
        <f>IF(ISBLANK(F66),"-",(F66/$D$50*$D$47*$B$68)*($B$57/$D$64))</f>
        <v>584.99437894433424</v>
      </c>
      <c r="H66" s="429">
        <f t="shared" si="0"/>
        <v>0.97499063157389043</v>
      </c>
    </row>
    <row r="67" spans="1:8" ht="27" customHeight="1" thickBot="1" x14ac:dyDescent="0.45">
      <c r="A67" s="361" t="s">
        <v>99</v>
      </c>
      <c r="B67" s="362">
        <v>1</v>
      </c>
      <c r="C67" s="791"/>
      <c r="D67" s="794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 x14ac:dyDescent="0.4">
      <c r="A68" s="361" t="s">
        <v>100</v>
      </c>
      <c r="B68" s="432">
        <f>(B67/B66)*(B65/B64)*(B63/B62)*(B61/B60)*B59</f>
        <v>1250</v>
      </c>
      <c r="C68" s="789" t="s">
        <v>101</v>
      </c>
      <c r="D68" s="792">
        <f>Lamivudine!D68</f>
        <v>909.1</v>
      </c>
      <c r="E68" s="416">
        <v>1</v>
      </c>
      <c r="F68" s="417"/>
      <c r="G68" s="426" t="str">
        <f>IF(ISBLANK(F68),"-",(F68/$D$50*$D$47*$B$68)*($B$57/$D$68))</f>
        <v>-</v>
      </c>
      <c r="H68" s="422" t="str">
        <f t="shared" si="0"/>
        <v>-</v>
      </c>
    </row>
    <row r="69" spans="1:8" ht="27" customHeight="1" thickBot="1" x14ac:dyDescent="0.45">
      <c r="A69" s="407" t="s">
        <v>102</v>
      </c>
      <c r="B69" s="433">
        <f>(D47*B68)/B56*B57</f>
        <v>949.90200000000004</v>
      </c>
      <c r="C69" s="790"/>
      <c r="D69" s="793"/>
      <c r="E69" s="420">
        <v>2</v>
      </c>
      <c r="F69" s="374"/>
      <c r="G69" s="428" t="str">
        <f>IF(ISBLANK(F69),"-",(F69/$D$50*$D$47*$B$68)*($B$57/$D$68))</f>
        <v>-</v>
      </c>
      <c r="H69" s="422" t="str">
        <f t="shared" si="0"/>
        <v>-</v>
      </c>
    </row>
    <row r="70" spans="1:8" ht="26.25" customHeight="1" x14ac:dyDescent="0.4">
      <c r="A70" s="797" t="s">
        <v>75</v>
      </c>
      <c r="B70" s="798"/>
      <c r="C70" s="790"/>
      <c r="D70" s="793"/>
      <c r="E70" s="420">
        <v>3</v>
      </c>
      <c r="F70" s="374"/>
      <c r="G70" s="428" t="str">
        <f>IF(ISBLANK(F70),"-",(F70/$D$50*$D$47*$B$68)*($B$57/$D$68))</f>
        <v>-</v>
      </c>
      <c r="H70" s="422" t="str">
        <f t="shared" si="0"/>
        <v>-</v>
      </c>
    </row>
    <row r="71" spans="1:8" ht="27" customHeight="1" thickBot="1" x14ac:dyDescent="0.45">
      <c r="A71" s="799"/>
      <c r="B71" s="800"/>
      <c r="C71" s="795"/>
      <c r="D71" s="794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 x14ac:dyDescent="0.4">
      <c r="A72" s="391"/>
      <c r="B72" s="391"/>
      <c r="C72" s="391"/>
      <c r="D72" s="391"/>
      <c r="E72" s="391"/>
      <c r="F72" s="435" t="s">
        <v>68</v>
      </c>
      <c r="G72" s="436">
        <f>AVERAGE(G60:G71)</f>
        <v>579.10197589875213</v>
      </c>
      <c r="H72" s="437">
        <f>AVERAGE(H60:H71)</f>
        <v>0.96516995983125364</v>
      </c>
    </row>
    <row r="73" spans="1:8" ht="26.25" customHeight="1" x14ac:dyDescent="0.4">
      <c r="C73" s="391"/>
      <c r="D73" s="391"/>
      <c r="E73" s="391"/>
      <c r="F73" s="438" t="s">
        <v>81</v>
      </c>
      <c r="G73" s="439">
        <f>STDEV(G60:G71)/G72</f>
        <v>1.2031221395864801E-2</v>
      </c>
      <c r="H73" s="439">
        <f>STDEV(H60:H71)/H72</f>
        <v>1.2031221395864804E-2</v>
      </c>
    </row>
    <row r="74" spans="1:8" ht="27" customHeight="1" thickBot="1" x14ac:dyDescent="0.45">
      <c r="A74" s="391"/>
      <c r="B74" s="391"/>
      <c r="C74" s="391"/>
      <c r="D74" s="391"/>
      <c r="E74" s="393"/>
      <c r="F74" s="440" t="s">
        <v>17</v>
      </c>
      <c r="G74" s="441">
        <f>COUNT(G60:G71)</f>
        <v>6</v>
      </c>
      <c r="H74" s="441">
        <f>COUNT(H60:H71)</f>
        <v>6</v>
      </c>
    </row>
    <row r="76" spans="1:8" ht="26.25" customHeight="1" x14ac:dyDescent="0.4">
      <c r="A76" s="344" t="s">
        <v>103</v>
      </c>
      <c r="B76" s="345" t="s">
        <v>104</v>
      </c>
      <c r="C76" s="801" t="str">
        <f>B20</f>
        <v xml:space="preserve">Tenofovir Disoproxil Fumarate 300mg, Lamivudine 300mg &amp; Efavirenz 600mg </v>
      </c>
      <c r="D76" s="801"/>
      <c r="E76" s="333" t="s">
        <v>105</v>
      </c>
      <c r="F76" s="333"/>
      <c r="G76" s="442">
        <f>H72</f>
        <v>0.96516995983125364</v>
      </c>
      <c r="H76" s="350"/>
    </row>
    <row r="77" spans="1:8" ht="18.75" x14ac:dyDescent="0.3">
      <c r="A77" s="343" t="s">
        <v>106</v>
      </c>
      <c r="B77" s="343" t="s">
        <v>107</v>
      </c>
    </row>
    <row r="78" spans="1:8" ht="18.75" x14ac:dyDescent="0.3">
      <c r="A78" s="343"/>
      <c r="B78" s="343"/>
    </row>
    <row r="79" spans="1:8" ht="26.25" customHeight="1" x14ac:dyDescent="0.4">
      <c r="A79" s="344" t="s">
        <v>4</v>
      </c>
      <c r="B79" s="796" t="str">
        <f>B26</f>
        <v>Effavirenz</v>
      </c>
      <c r="C79" s="796"/>
    </row>
    <row r="80" spans="1:8" ht="26.25" customHeight="1" x14ac:dyDescent="0.4">
      <c r="A80" s="345" t="s">
        <v>45</v>
      </c>
      <c r="B80" s="796" t="str">
        <f>B27</f>
        <v>E15-3</v>
      </c>
      <c r="C80" s="796"/>
    </row>
    <row r="81" spans="1:12" ht="27" customHeight="1" thickBot="1" x14ac:dyDescent="0.45">
      <c r="A81" s="345" t="s">
        <v>6</v>
      </c>
      <c r="B81" s="346">
        <f>B28</f>
        <v>99.3</v>
      </c>
    </row>
    <row r="82" spans="1:12" s="348" customFormat="1" ht="27" customHeight="1" thickBot="1" x14ac:dyDescent="0.45">
      <c r="A82" s="345" t="s">
        <v>46</v>
      </c>
      <c r="B82" s="347">
        <v>0</v>
      </c>
      <c r="C82" s="778" t="s">
        <v>47</v>
      </c>
      <c r="D82" s="779"/>
      <c r="E82" s="779"/>
      <c r="F82" s="779"/>
      <c r="G82" s="780"/>
      <c r="I82" s="349"/>
      <c r="J82" s="349"/>
      <c r="K82" s="349"/>
      <c r="L82" s="349"/>
    </row>
    <row r="83" spans="1:12" s="348" customFormat="1" ht="19.5" customHeight="1" thickBot="1" x14ac:dyDescent="0.35">
      <c r="A83" s="345" t="s">
        <v>48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 x14ac:dyDescent="0.45">
      <c r="A84" s="345" t="s">
        <v>49</v>
      </c>
      <c r="B84" s="353">
        <v>1</v>
      </c>
      <c r="C84" s="766" t="s">
        <v>108</v>
      </c>
      <c r="D84" s="767"/>
      <c r="E84" s="767"/>
      <c r="F84" s="767"/>
      <c r="G84" s="767"/>
      <c r="H84" s="768"/>
      <c r="I84" s="349"/>
      <c r="J84" s="349"/>
      <c r="K84" s="349"/>
      <c r="L84" s="349"/>
    </row>
    <row r="85" spans="1:12" s="348" customFormat="1" ht="27" customHeight="1" thickBot="1" x14ac:dyDescent="0.45">
      <c r="A85" s="345" t="s">
        <v>51</v>
      </c>
      <c r="B85" s="353">
        <v>1</v>
      </c>
      <c r="C85" s="766" t="s">
        <v>109</v>
      </c>
      <c r="D85" s="767"/>
      <c r="E85" s="767"/>
      <c r="F85" s="767"/>
      <c r="G85" s="767"/>
      <c r="H85" s="768"/>
      <c r="I85" s="349"/>
      <c r="J85" s="349"/>
      <c r="K85" s="349"/>
      <c r="L85" s="349"/>
    </row>
    <row r="86" spans="1:12" s="348" customFormat="1" ht="18.75" x14ac:dyDescent="0.3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 x14ac:dyDescent="0.3">
      <c r="A87" s="345" t="s">
        <v>53</v>
      </c>
      <c r="B87" s="358">
        <f>B84/B85</f>
        <v>1</v>
      </c>
      <c r="C87" s="333" t="s">
        <v>54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 x14ac:dyDescent="0.35">
      <c r="A88" s="343"/>
      <c r="B88" s="343"/>
    </row>
    <row r="89" spans="1:12" ht="27" customHeight="1" thickBot="1" x14ac:dyDescent="0.45">
      <c r="A89" s="359" t="s">
        <v>55</v>
      </c>
      <c r="B89" s="360">
        <v>25</v>
      </c>
      <c r="D89" s="443" t="s">
        <v>56</v>
      </c>
      <c r="E89" s="444"/>
      <c r="F89" s="781" t="s">
        <v>57</v>
      </c>
      <c r="G89" s="783"/>
    </row>
    <row r="90" spans="1:12" ht="27" customHeight="1" thickBot="1" x14ac:dyDescent="0.45">
      <c r="A90" s="361" t="s">
        <v>58</v>
      </c>
      <c r="B90" s="362">
        <v>10</v>
      </c>
      <c r="C90" s="445" t="s">
        <v>59</v>
      </c>
      <c r="D90" s="364" t="s">
        <v>60</v>
      </c>
      <c r="E90" s="365" t="s">
        <v>61</v>
      </c>
      <c r="F90" s="364" t="s">
        <v>60</v>
      </c>
      <c r="G90" s="446" t="s">
        <v>61</v>
      </c>
      <c r="I90" s="367" t="s">
        <v>62</v>
      </c>
    </row>
    <row r="91" spans="1:12" ht="26.25" customHeight="1" x14ac:dyDescent="0.4">
      <c r="A91" s="361" t="s">
        <v>63</v>
      </c>
      <c r="B91" s="362">
        <v>20</v>
      </c>
      <c r="C91" s="447">
        <v>1</v>
      </c>
      <c r="D91" s="369">
        <v>212398928</v>
      </c>
      <c r="E91" s="370">
        <f>IF(ISBLANK(D91),"-",$D$101/$D$98*D91)</f>
        <v>232664468.53865382</v>
      </c>
      <c r="F91" s="369">
        <v>232132531</v>
      </c>
      <c r="G91" s="371">
        <f>IF(ISBLANK(F91),"-",$D$101/$F$98*F91)</f>
        <v>231149222.20872411</v>
      </c>
      <c r="I91" s="372"/>
    </row>
    <row r="92" spans="1:12" ht="26.25" customHeight="1" x14ac:dyDescent="0.4">
      <c r="A92" s="361" t="s">
        <v>64</v>
      </c>
      <c r="B92" s="362">
        <v>1</v>
      </c>
      <c r="C92" s="391">
        <v>2</v>
      </c>
      <c r="D92" s="374">
        <v>211845456</v>
      </c>
      <c r="E92" s="375">
        <f>IF(ISBLANK(D92),"-",$D$101/$D$98*D92)</f>
        <v>232058188.31895787</v>
      </c>
      <c r="F92" s="374">
        <v>232172977</v>
      </c>
      <c r="G92" s="376">
        <f>IF(ISBLANK(F92),"-",$D$101/$F$98*F92)</f>
        <v>231189496.88027135</v>
      </c>
      <c r="I92" s="784">
        <f>ABS((F96/D96*D95)-F95)/D95</f>
        <v>7.7583308160397626E-3</v>
      </c>
    </row>
    <row r="93" spans="1:12" ht="26.25" customHeight="1" x14ac:dyDescent="0.4">
      <c r="A93" s="361" t="s">
        <v>65</v>
      </c>
      <c r="B93" s="362">
        <v>1</v>
      </c>
      <c r="C93" s="391">
        <v>3</v>
      </c>
      <c r="D93" s="374">
        <v>212751747</v>
      </c>
      <c r="E93" s="375">
        <f>IF(ISBLANK(D93),"-",$D$101/$D$98*D93)</f>
        <v>233050950.92770496</v>
      </c>
      <c r="F93" s="374">
        <v>231494402</v>
      </c>
      <c r="G93" s="376">
        <f>IF(ISBLANK(F93),"-",$D$101/$F$98*F93)</f>
        <v>230513796.31049517</v>
      </c>
      <c r="I93" s="784"/>
    </row>
    <row r="94" spans="1:12" ht="27" customHeight="1" thickBot="1" x14ac:dyDescent="0.45">
      <c r="A94" s="361" t="s">
        <v>66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 x14ac:dyDescent="0.45">
      <c r="A95" s="361" t="s">
        <v>67</v>
      </c>
      <c r="B95" s="362">
        <v>1</v>
      </c>
      <c r="C95" s="345" t="s">
        <v>68</v>
      </c>
      <c r="D95" s="450">
        <f>AVERAGE(D91:D94)</f>
        <v>212332043.66666666</v>
      </c>
      <c r="E95" s="384">
        <f>AVERAGE(E91:E94)</f>
        <v>232591202.59510553</v>
      </c>
      <c r="F95" s="451">
        <f>AVERAGE(F91:F94)</f>
        <v>231933303.33333334</v>
      </c>
      <c r="G95" s="452">
        <f>AVERAGE(G91:G94)</f>
        <v>230950838.46649686</v>
      </c>
    </row>
    <row r="96" spans="1:12" ht="26.25" customHeight="1" x14ac:dyDescent="0.4">
      <c r="A96" s="361" t="s">
        <v>69</v>
      </c>
      <c r="B96" s="346">
        <v>1</v>
      </c>
      <c r="C96" s="453" t="s">
        <v>110</v>
      </c>
      <c r="D96" s="454">
        <v>27.58</v>
      </c>
      <c r="E96" s="333"/>
      <c r="F96" s="388">
        <v>30.34</v>
      </c>
    </row>
    <row r="97" spans="1:10" ht="26.25" customHeight="1" x14ac:dyDescent="0.4">
      <c r="A97" s="361" t="s">
        <v>71</v>
      </c>
      <c r="B97" s="346">
        <v>1</v>
      </c>
      <c r="C97" s="455" t="s">
        <v>111</v>
      </c>
      <c r="D97" s="456">
        <f>D96*$B$87</f>
        <v>27.58</v>
      </c>
      <c r="E97" s="391"/>
      <c r="F97" s="390">
        <f>F96*$B$87</f>
        <v>30.34</v>
      </c>
    </row>
    <row r="98" spans="1:10" ht="19.5" customHeight="1" thickBot="1" x14ac:dyDescent="0.35">
      <c r="A98" s="361" t="s">
        <v>73</v>
      </c>
      <c r="B98" s="391">
        <f>(B97/B96)*(B95/B94)*(B93/B92)*(B91/B90)*B89</f>
        <v>50</v>
      </c>
      <c r="C98" s="455" t="s">
        <v>112</v>
      </c>
      <c r="D98" s="457">
        <f>D97*$B$83/100</f>
        <v>27.386939999999999</v>
      </c>
      <c r="E98" s="393"/>
      <c r="F98" s="392">
        <f>F97*$B$83/100</f>
        <v>30.127619999999997</v>
      </c>
    </row>
    <row r="99" spans="1:10" ht="19.5" customHeight="1" thickBot="1" x14ac:dyDescent="0.35">
      <c r="A99" s="785" t="s">
        <v>75</v>
      </c>
      <c r="B99" s="802"/>
      <c r="C99" s="455" t="s">
        <v>113</v>
      </c>
      <c r="D99" s="458">
        <f>D98/$B$98</f>
        <v>0.54773879999999997</v>
      </c>
      <c r="E99" s="393"/>
      <c r="F99" s="396">
        <f>F98/$B$98</f>
        <v>0.60255239999999999</v>
      </c>
      <c r="H99" s="386"/>
    </row>
    <row r="100" spans="1:10" ht="19.5" customHeight="1" thickBot="1" x14ac:dyDescent="0.35">
      <c r="A100" s="787"/>
      <c r="B100" s="803"/>
      <c r="C100" s="455" t="s">
        <v>77</v>
      </c>
      <c r="D100" s="459">
        <f>$B$56/$B$116</f>
        <v>0.6</v>
      </c>
      <c r="F100" s="401"/>
      <c r="G100" s="460"/>
      <c r="H100" s="386"/>
    </row>
    <row r="101" spans="1:10" ht="18.75" x14ac:dyDescent="0.3">
      <c r="C101" s="455" t="s">
        <v>78</v>
      </c>
      <c r="D101" s="456">
        <f>D100*$B$98</f>
        <v>30</v>
      </c>
      <c r="F101" s="401"/>
      <c r="H101" s="386"/>
    </row>
    <row r="102" spans="1:10" ht="19.5" customHeight="1" thickBot="1" x14ac:dyDescent="0.35">
      <c r="C102" s="461" t="s">
        <v>79</v>
      </c>
      <c r="D102" s="462">
        <f>D101/B34</f>
        <v>30</v>
      </c>
      <c r="F102" s="405"/>
      <c r="H102" s="386"/>
      <c r="J102" s="463"/>
    </row>
    <row r="103" spans="1:10" ht="18.75" x14ac:dyDescent="0.3">
      <c r="C103" s="464" t="s">
        <v>114</v>
      </c>
      <c r="D103" s="465">
        <f>AVERAGE(E91:E94,G91:G94)</f>
        <v>231771020.53080121</v>
      </c>
      <c r="F103" s="405"/>
      <c r="G103" s="460"/>
      <c r="H103" s="386"/>
      <c r="J103" s="466"/>
    </row>
    <row r="104" spans="1:10" ht="18.75" x14ac:dyDescent="0.3">
      <c r="C104" s="438" t="s">
        <v>81</v>
      </c>
      <c r="D104" s="467">
        <f>STDEV(E91:E94,G91:G94)/D103</f>
        <v>4.2381406508252136E-3</v>
      </c>
      <c r="F104" s="405"/>
      <c r="H104" s="386"/>
      <c r="J104" s="466"/>
    </row>
    <row r="105" spans="1:10" ht="19.5" customHeight="1" thickBot="1" x14ac:dyDescent="0.35">
      <c r="C105" s="440" t="s">
        <v>17</v>
      </c>
      <c r="D105" s="468">
        <f>COUNT(E91:E94,G91:G94)</f>
        <v>6</v>
      </c>
      <c r="F105" s="405"/>
      <c r="H105" s="386"/>
      <c r="J105" s="466"/>
    </row>
    <row r="106" spans="1:10" ht="19.5" customHeight="1" thickBot="1" x14ac:dyDescent="0.35">
      <c r="A106" s="409"/>
      <c r="B106" s="409"/>
      <c r="C106" s="409"/>
      <c r="D106" s="409"/>
      <c r="E106" s="409"/>
    </row>
    <row r="107" spans="1:10" ht="26.25" customHeight="1" x14ac:dyDescent="0.4">
      <c r="A107" s="359" t="s">
        <v>115</v>
      </c>
      <c r="B107" s="360">
        <v>1000</v>
      </c>
      <c r="C107" s="443" t="s">
        <v>116</v>
      </c>
      <c r="D107" s="469" t="s">
        <v>60</v>
      </c>
      <c r="E107" s="470" t="s">
        <v>117</v>
      </c>
      <c r="F107" s="471" t="s">
        <v>118</v>
      </c>
    </row>
    <row r="108" spans="1:10" ht="26.25" customHeight="1" x14ac:dyDescent="0.4">
      <c r="A108" s="361" t="s">
        <v>119</v>
      </c>
      <c r="B108" s="362">
        <v>1</v>
      </c>
      <c r="C108" s="472">
        <v>1</v>
      </c>
      <c r="D108" s="473">
        <v>228515104</v>
      </c>
      <c r="E108" s="474">
        <f t="shared" ref="E108:E113" si="1">IF(ISBLANK(D108),"-",D108/$D$103*$D$100*$B$116)</f>
        <v>591.57120715952021</v>
      </c>
      <c r="F108" s="475">
        <f t="shared" ref="F108:F113" si="2">IF(ISBLANK(D108), "-", E108/$B$56)</f>
        <v>0.98595201193253368</v>
      </c>
    </row>
    <row r="109" spans="1:10" ht="26.25" customHeight="1" x14ac:dyDescent="0.4">
      <c r="A109" s="361" t="s">
        <v>92</v>
      </c>
      <c r="B109" s="362">
        <v>1</v>
      </c>
      <c r="C109" s="472">
        <v>2</v>
      </c>
      <c r="D109" s="473">
        <v>228726188</v>
      </c>
      <c r="E109" s="476">
        <f t="shared" si="1"/>
        <v>592.11765338782754</v>
      </c>
      <c r="F109" s="477">
        <f t="shared" si="2"/>
        <v>0.98686275564637926</v>
      </c>
    </row>
    <row r="110" spans="1:10" ht="26.25" customHeight="1" x14ac:dyDescent="0.4">
      <c r="A110" s="361" t="s">
        <v>93</v>
      </c>
      <c r="B110" s="362">
        <v>1</v>
      </c>
      <c r="C110" s="472">
        <v>3</v>
      </c>
      <c r="D110" s="473">
        <v>228687563</v>
      </c>
      <c r="E110" s="476">
        <f t="shared" si="1"/>
        <v>592.01766245735257</v>
      </c>
      <c r="F110" s="477">
        <f t="shared" si="2"/>
        <v>0.98669610409558761</v>
      </c>
    </row>
    <row r="111" spans="1:10" ht="26.25" customHeight="1" x14ac:dyDescent="0.4">
      <c r="A111" s="361" t="s">
        <v>94</v>
      </c>
      <c r="B111" s="362">
        <v>1</v>
      </c>
      <c r="C111" s="472">
        <v>4</v>
      </c>
      <c r="D111" s="473">
        <v>229409308</v>
      </c>
      <c r="E111" s="476">
        <f t="shared" si="1"/>
        <v>593.88608845387375</v>
      </c>
      <c r="F111" s="477">
        <f t="shared" si="2"/>
        <v>0.9898101474231229</v>
      </c>
    </row>
    <row r="112" spans="1:10" ht="26.25" customHeight="1" x14ac:dyDescent="0.4">
      <c r="A112" s="361" t="s">
        <v>95</v>
      </c>
      <c r="B112" s="362">
        <v>1</v>
      </c>
      <c r="C112" s="472">
        <v>5</v>
      </c>
      <c r="D112" s="473">
        <v>228428607</v>
      </c>
      <c r="E112" s="476">
        <f t="shared" si="1"/>
        <v>591.34728701678125</v>
      </c>
      <c r="F112" s="477">
        <f t="shared" si="2"/>
        <v>0.98557881169463546</v>
      </c>
    </row>
    <row r="113" spans="1:10" ht="26.25" customHeight="1" x14ac:dyDescent="0.4">
      <c r="A113" s="361" t="s">
        <v>97</v>
      </c>
      <c r="B113" s="362">
        <v>1</v>
      </c>
      <c r="C113" s="478">
        <v>6</v>
      </c>
      <c r="D113" s="479">
        <v>229068291</v>
      </c>
      <c r="E113" s="480">
        <f t="shared" si="1"/>
        <v>593.0032766185916</v>
      </c>
      <c r="F113" s="481">
        <f t="shared" si="2"/>
        <v>0.98833879436431937</v>
      </c>
    </row>
    <row r="114" spans="1:10" ht="26.25" customHeight="1" x14ac:dyDescent="0.4">
      <c r="A114" s="361" t="s">
        <v>98</v>
      </c>
      <c r="B114" s="362">
        <v>1</v>
      </c>
      <c r="C114" s="472"/>
      <c r="D114" s="391"/>
      <c r="E114" s="333"/>
      <c r="F114" s="482"/>
    </row>
    <row r="115" spans="1:10" ht="26.25" customHeight="1" x14ac:dyDescent="0.4">
      <c r="A115" s="361" t="s">
        <v>99</v>
      </c>
      <c r="B115" s="362">
        <v>1</v>
      </c>
      <c r="C115" s="472"/>
      <c r="D115" s="483" t="s">
        <v>68</v>
      </c>
      <c r="E115" s="484">
        <f>AVERAGE(E108:E113)</f>
        <v>592.32386251565777</v>
      </c>
      <c r="F115" s="485">
        <f>AVERAGE(F108:F113)</f>
        <v>0.98720643752609638</v>
      </c>
    </row>
    <row r="116" spans="1:10" ht="27" customHeight="1" thickBot="1" x14ac:dyDescent="0.45">
      <c r="A116" s="361" t="s">
        <v>100</v>
      </c>
      <c r="B116" s="373">
        <f>(B115/B114)*(B113/B112)*(B111/B110)*(B109/B108)*B107</f>
        <v>1000</v>
      </c>
      <c r="C116" s="486"/>
      <c r="D116" s="345" t="s">
        <v>81</v>
      </c>
      <c r="E116" s="487">
        <f>STDEV(E108:E113)/E115</f>
        <v>1.6120282529205122E-3</v>
      </c>
      <c r="F116" s="487">
        <f>STDEV(F108:F113)/F115</f>
        <v>1.6120282529205031E-3</v>
      </c>
      <c r="I116" s="333"/>
    </row>
    <row r="117" spans="1:10" ht="27" customHeight="1" thickBot="1" x14ac:dyDescent="0.45">
      <c r="A117" s="785" t="s">
        <v>75</v>
      </c>
      <c r="B117" s="786"/>
      <c r="C117" s="488"/>
      <c r="D117" s="489" t="s">
        <v>17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 x14ac:dyDescent="0.35">
      <c r="A118" s="787"/>
      <c r="B118" s="788"/>
      <c r="C118" s="333"/>
      <c r="D118" s="333"/>
      <c r="E118" s="333"/>
      <c r="F118" s="391"/>
      <c r="G118" s="333"/>
      <c r="H118" s="333"/>
      <c r="I118" s="333"/>
    </row>
    <row r="119" spans="1:10" ht="18.75" x14ac:dyDescent="0.3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 x14ac:dyDescent="0.4">
      <c r="A120" s="344" t="s">
        <v>103</v>
      </c>
      <c r="B120" s="345" t="s">
        <v>120</v>
      </c>
      <c r="C120" s="801" t="str">
        <f>B20</f>
        <v xml:space="preserve">Tenofovir Disoproxil Fumarate 300mg, Lamivudine 300mg &amp; Efavirenz 600mg </v>
      </c>
      <c r="D120" s="801"/>
      <c r="E120" s="333" t="s">
        <v>121</v>
      </c>
      <c r="F120" s="333"/>
      <c r="G120" s="442">
        <f>F115</f>
        <v>0.98720643752609638</v>
      </c>
      <c r="H120" s="333"/>
      <c r="I120" s="333"/>
    </row>
    <row r="121" spans="1:10" ht="19.5" customHeight="1" thickBot="1" x14ac:dyDescent="0.35">
      <c r="A121" s="492"/>
      <c r="B121" s="492"/>
      <c r="C121" s="493"/>
      <c r="D121" s="493"/>
      <c r="E121" s="493"/>
      <c r="F121" s="493"/>
      <c r="G121" s="493"/>
      <c r="H121" s="493"/>
    </row>
    <row r="122" spans="1:10" ht="18.75" x14ac:dyDescent="0.3">
      <c r="B122" s="804" t="s">
        <v>23</v>
      </c>
      <c r="C122" s="804"/>
      <c r="E122" s="445" t="s">
        <v>24</v>
      </c>
      <c r="F122" s="494"/>
      <c r="G122" s="804" t="s">
        <v>25</v>
      </c>
      <c r="H122" s="804"/>
    </row>
    <row r="123" spans="1:10" ht="69.95" customHeight="1" x14ac:dyDescent="0.3">
      <c r="A123" s="344" t="s">
        <v>26</v>
      </c>
      <c r="B123" s="495"/>
      <c r="C123" s="495"/>
      <c r="E123" s="495"/>
      <c r="F123" s="333"/>
      <c r="G123" s="495"/>
      <c r="H123" s="495"/>
    </row>
    <row r="124" spans="1:10" ht="69.95" customHeight="1" x14ac:dyDescent="0.3">
      <c r="A124" s="344" t="s">
        <v>27</v>
      </c>
      <c r="B124" s="496"/>
      <c r="C124" s="496"/>
      <c r="E124" s="496"/>
      <c r="F124" s="333"/>
      <c r="G124" s="497"/>
      <c r="H124" s="497"/>
    </row>
    <row r="125" spans="1:10" ht="18.75" x14ac:dyDescent="0.3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 x14ac:dyDescent="0.3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 x14ac:dyDescent="0.3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 x14ac:dyDescent="0.3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 x14ac:dyDescent="0.3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 x14ac:dyDescent="0.3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 x14ac:dyDescent="0.3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 x14ac:dyDescent="0.3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 x14ac:dyDescent="0.3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 x14ac:dyDescent="0.25">
      <c r="A250" s="33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2016-10-13T08:38:53Z</cp:lastPrinted>
  <dcterms:created xsi:type="dcterms:W3CDTF">2005-07-05T10:19:27Z</dcterms:created>
  <dcterms:modified xsi:type="dcterms:W3CDTF">2016-10-13T08:41:44Z</dcterms:modified>
</cp:coreProperties>
</file>