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Dapsone" sheetId="3" r:id="rId3"/>
  </sheets>
  <definedNames>
    <definedName name="_xlnm.Print_Area" localSheetId="2">Dapsone!$A$1:$I$129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3" s="1"/>
  <c r="C45" i="2"/>
  <c r="D43" i="2"/>
  <c r="D41" i="2"/>
  <c r="D39" i="2"/>
  <c r="D37" i="2"/>
  <c r="D35" i="2"/>
  <c r="D33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I39" i="3"/>
  <c r="F44" i="3"/>
  <c r="F45" i="3" s="1"/>
  <c r="D49" i="3"/>
  <c r="D45" i="3"/>
  <c r="D46" i="3" s="1"/>
  <c r="F98" i="3"/>
  <c r="F99" i="3" s="1"/>
  <c r="B69" i="3"/>
  <c r="E38" i="3"/>
  <c r="C50" i="2"/>
  <c r="D97" i="3"/>
  <c r="D98" i="3" s="1"/>
  <c r="D99" i="3" s="1"/>
  <c r="D26" i="2"/>
  <c r="D30" i="2"/>
  <c r="D34" i="2"/>
  <c r="D38" i="2"/>
  <c r="D42" i="2"/>
  <c r="B49" i="2"/>
  <c r="D50" i="2"/>
  <c r="D32" i="2"/>
  <c r="D36" i="2"/>
  <c r="D40" i="2"/>
  <c r="D49" i="2"/>
  <c r="F46" i="3" l="1"/>
  <c r="G38" i="3"/>
  <c r="G40" i="3"/>
  <c r="E40" i="3"/>
  <c r="G39" i="3"/>
  <c r="E39" i="3"/>
  <c r="E41" i="3"/>
  <c r="G41" i="3"/>
  <c r="G91" i="3"/>
  <c r="G94" i="3"/>
  <c r="G92" i="3"/>
  <c r="G93" i="3"/>
  <c r="E92" i="3"/>
  <c r="E94" i="3"/>
  <c r="E91" i="3"/>
  <c r="E93" i="3"/>
  <c r="G42" i="3" l="1"/>
  <c r="E42" i="3"/>
  <c r="D50" i="3"/>
  <c r="G65" i="3" s="1"/>
  <c r="H65" i="3" s="1"/>
  <c r="D52" i="3"/>
  <c r="G95" i="3"/>
  <c r="G64" i="3"/>
  <c r="H64" i="3" s="1"/>
  <c r="D103" i="3"/>
  <c r="E95" i="3"/>
  <c r="D105" i="3"/>
  <c r="G70" i="3" l="1"/>
  <c r="H70" i="3" s="1"/>
  <c r="D51" i="3"/>
  <c r="G61" i="3"/>
  <c r="H61" i="3" s="1"/>
  <c r="G66" i="3"/>
  <c r="H66" i="3" s="1"/>
  <c r="G69" i="3"/>
  <c r="H69" i="3" s="1"/>
  <c r="G60" i="3"/>
  <c r="H60" i="3" s="1"/>
  <c r="G68" i="3"/>
  <c r="H68" i="3" s="1"/>
  <c r="G63" i="3"/>
  <c r="H63" i="3" s="1"/>
  <c r="G67" i="3"/>
  <c r="H67" i="3" s="1"/>
  <c r="G62" i="3"/>
  <c r="H62" i="3" s="1"/>
  <c r="G71" i="3"/>
  <c r="H7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G72" i="3"/>
  <c r="G73" i="3" s="1"/>
  <c r="E120" i="3"/>
  <c r="E117" i="3"/>
  <c r="F108" i="3"/>
  <c r="E115" i="3"/>
  <c r="E116" i="3" s="1"/>
  <c r="E119" i="3"/>
  <c r="H74" i="3"/>
  <c r="H72" i="3"/>
  <c r="G76" i="3" l="1"/>
  <c r="H73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<sst xmlns="http://schemas.openxmlformats.org/spreadsheetml/2006/main" count="238" uniqueCount="135">
  <si>
    <t>HPLC System Suitability Report</t>
  </si>
  <si>
    <t>Analysis Data</t>
  </si>
  <si>
    <t>Assay</t>
  </si>
  <si>
    <t>Sample(s)</t>
  </si>
  <si>
    <t>Reference Substance:</t>
  </si>
  <si>
    <t>DAPSONE TABLETS BP 100 MG</t>
  </si>
  <si>
    <t>% age Purity:</t>
  </si>
  <si>
    <t>NDQB201608080</t>
  </si>
  <si>
    <t>Weight (mg):</t>
  </si>
  <si>
    <t xml:space="preserve">Dapsone B.P  </t>
  </si>
  <si>
    <t>Standard Conc (mg/mL):</t>
  </si>
  <si>
    <t>Each tablet contains: Dapsone BP 100 mg.</t>
  </si>
  <si>
    <t>2016-08-23 12:49:57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</si>
  <si>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</si>
  <si>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</si>
  <si>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</si>
  <si>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</si>
  <si>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</si>
  <si>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</si>
  <si>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</si>
  <si>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</si>
  <si>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</si>
  <si>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</si>
  <si>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</si>
  <si>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</si>
  <si>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</si>
  <si>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</si>
  <si>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</si>
  <si>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</si>
  <si>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</si>
  <si>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</si>
  <si>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</si>
  <si>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</si>
  <si>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</si>
  <si>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</si>
  <si>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</si>
  <si>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</si>
  <si>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</si>
  <si>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</si>
  <si>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</si>
  <si>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</si>
  <si>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</si>
  <si>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</si>
  <si>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</si>
  <si>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</si>
  <si>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</si>
  <si>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</si>
  <si>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</si>
  <si>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</si>
  <si>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</si>
  <si>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</si>
  <si>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</si>
  <si>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</si>
  <si>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</si>
  <si>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</si>
  <si>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</si>
  <si>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</si>
  <si>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</si>
  <si>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</si>
  <si>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</si>
  <si>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</si>
  <si>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</si>
  <si>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</si>
  <si>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</si>
  <si>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</si>
  <si>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</si>
  <si>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</si>
  <si>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</si>
  <si>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</si>
  <si>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</si>
  <si>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</si>
  <si>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</si>
  <si>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</si>
  <si>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</si>
  <si>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</si>
  <si>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</si>
  <si>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</si>
  <si>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</si>
  <si>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</si>
  <si>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</si>
  <si>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</si>
  <si>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</si>
  <si>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</si>
  <si>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</si>
  <si>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</si>
  <si>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</si>
  <si>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</si>
  <si>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</si>
  <si>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</si>
  <si>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</si>
  <si>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</si>
  <si>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</si>
  <si>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</si>
  <si>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</si>
  <si>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</si>
  <si>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</si>
  <si>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</si>
  <si>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</si>
  <si>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</si>
  <si>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</si>
  <si>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</si>
  <si>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</si>
  <si>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</si>
  <si>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</si>
  <si>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</si>
  <si>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</si>
  <si>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</si>
  <si>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</si>
  <si>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</si>
  <si>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</si>
  <si>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</si>
  <si>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</si>
  <si>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</si>
  <si>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</si>
  <si>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</si>
  <si>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</si>
  <si>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</si>
  <si>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</si>
  <si>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</si>
  <si>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</si>
  <si>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</si>
  <si>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</si>
  <si>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</si>
  <si>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</si>
  <si>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</si>
  <si>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</si>
  <si>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</si>
  <si>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</si>
  <si>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</si>
  <si>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</si>
  <si>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</si>
  <si>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Dapsone</t>
  </si>
  <si>
    <t>D42-1</t>
  </si>
  <si>
    <t xml:space="preserve">Dapsone 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</si>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</sst>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C31" sqref="C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26.03</v>
      </c>
      <c r="C20" s="10"/>
      <c r="D20" s="10"/>
      <c r="E20" s="10"/>
    </row>
    <row r="21" spans="1:6" ht="16.5" customHeight="1" x14ac:dyDescent="0.3">
      <c r="A21" s="7" t="s">
        <v>10</v>
      </c>
      <c r="B21" s="13">
        <f>26.03/100*10/100</f>
        <v>2.6030000000000001E-2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11833582</v>
      </c>
      <c r="C24" s="18">
        <v>13579.19</v>
      </c>
      <c r="D24" s="19">
        <v>1.3</v>
      </c>
      <c r="E24" s="20">
        <v>8.84</v>
      </c>
    </row>
    <row r="25" spans="1:6" ht="16.5" customHeight="1" x14ac:dyDescent="0.3">
      <c r="A25" s="17">
        <v>2</v>
      </c>
      <c r="B25" s="18">
        <v>11848006</v>
      </c>
      <c r="C25" s="18">
        <v>13607.3</v>
      </c>
      <c r="D25" s="19">
        <v>1.32</v>
      </c>
      <c r="E25" s="19">
        <v>8.84</v>
      </c>
    </row>
    <row r="26" spans="1:6" ht="16.5" customHeight="1" x14ac:dyDescent="0.3">
      <c r="A26" s="17">
        <v>3</v>
      </c>
      <c r="B26" s="18">
        <v>11880133</v>
      </c>
      <c r="C26" s="18">
        <v>13644.77</v>
      </c>
      <c r="D26" s="19">
        <v>1.32</v>
      </c>
      <c r="E26" s="19">
        <v>8.84</v>
      </c>
    </row>
    <row r="27" spans="1:6" ht="16.5" customHeight="1" x14ac:dyDescent="0.3">
      <c r="A27" s="17">
        <v>4</v>
      </c>
      <c r="B27" s="18">
        <v>11889479</v>
      </c>
      <c r="C27" s="18">
        <v>13489.32</v>
      </c>
      <c r="D27" s="19">
        <v>1.33</v>
      </c>
      <c r="E27" s="19">
        <v>8.84</v>
      </c>
    </row>
    <row r="28" spans="1:6" ht="16.5" customHeight="1" x14ac:dyDescent="0.3">
      <c r="A28" s="17">
        <v>5</v>
      </c>
      <c r="B28" s="18">
        <v>11881983</v>
      </c>
      <c r="C28" s="18">
        <v>13674.41</v>
      </c>
      <c r="D28" s="19">
        <v>1.33</v>
      </c>
      <c r="E28" s="19">
        <v>8.84</v>
      </c>
    </row>
    <row r="29" spans="1:6" ht="16.5" customHeight="1" x14ac:dyDescent="0.3">
      <c r="A29" s="17">
        <v>6</v>
      </c>
      <c r="B29" s="21">
        <v>11903412</v>
      </c>
      <c r="C29" s="21">
        <v>13622.8</v>
      </c>
      <c r="D29" s="22">
        <v>1.31</v>
      </c>
      <c r="E29" s="22">
        <v>8.84</v>
      </c>
    </row>
    <row r="30" spans="1:6" ht="16.5" customHeight="1" x14ac:dyDescent="0.3">
      <c r="A30" s="23" t="s">
        <v>18</v>
      </c>
      <c r="B30" s="24">
        <f>AVERAGE(B24:B29)</f>
        <v>11872765.833333334</v>
      </c>
      <c r="C30" s="25">
        <f>AVERAGE(C24:C29)</f>
        <v>13602.964999999998</v>
      </c>
      <c r="D30" s="26">
        <f>AVERAGE(D24:D29)</f>
        <v>1.3183333333333334</v>
      </c>
      <c r="E30" s="26">
        <f>AVERAGE(E24:E29)</f>
        <v>8.8400000000000016</v>
      </c>
    </row>
    <row r="31" spans="1:6" ht="16.5" customHeight="1" x14ac:dyDescent="0.3">
      <c r="A31" s="27" t="s">
        <v>19</v>
      </c>
      <c r="B31" s="28">
        <f>(STDEV(B24:B29)/B30)</f>
        <v>2.2303839805803988E-3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134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1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147.52000000000001</v>
      </c>
      <c r="D24" s="87">
        <f t="shared" ref="D24:D43" si="0">(C24-$C$46)/$C$46</f>
        <v>-2.7721023423803361E-2</v>
      </c>
      <c r="E24" s="53"/>
    </row>
    <row r="25" spans="1:5" ht="15.75" customHeight="1" x14ac:dyDescent="0.3">
      <c r="C25" s="95">
        <v>151.66</v>
      </c>
      <c r="D25" s="88">
        <f t="shared" si="0"/>
        <v>-4.3499466142917165E-4</v>
      </c>
      <c r="E25" s="53"/>
    </row>
    <row r="26" spans="1:5" ht="15.75" customHeight="1" x14ac:dyDescent="0.3">
      <c r="C26" s="95">
        <v>150.5</v>
      </c>
      <c r="D26" s="88">
        <f t="shared" si="0"/>
        <v>-8.0803553774567247E-3</v>
      </c>
      <c r="E26" s="53"/>
    </row>
    <row r="27" spans="1:5" ht="15.75" customHeight="1" x14ac:dyDescent="0.3">
      <c r="C27" s="95">
        <v>150.36000000000001</v>
      </c>
      <c r="D27" s="88">
        <f t="shared" si="0"/>
        <v>-9.0030713259427221E-3</v>
      </c>
      <c r="E27" s="53"/>
    </row>
    <row r="28" spans="1:5" ht="15.75" customHeight="1" x14ac:dyDescent="0.3">
      <c r="C28" s="95">
        <v>150.82</v>
      </c>
      <c r="D28" s="88">
        <f t="shared" si="0"/>
        <v>-5.9712903523457149E-3</v>
      </c>
      <c r="E28" s="53"/>
    </row>
    <row r="29" spans="1:5" ht="15.75" customHeight="1" x14ac:dyDescent="0.3">
      <c r="C29" s="95">
        <v>153.22999999999999</v>
      </c>
      <c r="D29" s="88">
        <f t="shared" si="0"/>
        <v>9.912605618021899E-3</v>
      </c>
      <c r="E29" s="53"/>
    </row>
    <row r="30" spans="1:5" ht="15.75" customHeight="1" x14ac:dyDescent="0.3">
      <c r="C30" s="95">
        <v>155.72</v>
      </c>
      <c r="D30" s="88">
        <f t="shared" si="0"/>
        <v>2.6323767844667358E-2</v>
      </c>
      <c r="E30" s="53"/>
    </row>
    <row r="31" spans="1:5" ht="15.75" customHeight="1" x14ac:dyDescent="0.3">
      <c r="C31" s="95">
        <v>153.44</v>
      </c>
      <c r="D31" s="88">
        <f t="shared" si="0"/>
        <v>1.1296679540751082E-2</v>
      </c>
      <c r="E31" s="53"/>
    </row>
    <row r="32" spans="1:5" ht="15.75" customHeight="1" x14ac:dyDescent="0.3">
      <c r="C32" s="95">
        <v>154.74</v>
      </c>
      <c r="D32" s="88">
        <f t="shared" si="0"/>
        <v>1.986475620526482E-2</v>
      </c>
      <c r="E32" s="53"/>
    </row>
    <row r="33" spans="1:7" ht="15.75" customHeight="1" x14ac:dyDescent="0.3">
      <c r="C33" s="95">
        <v>149.38999999999999</v>
      </c>
      <c r="D33" s="88">
        <f t="shared" si="0"/>
        <v>-1.5396174683310788E-2</v>
      </c>
      <c r="E33" s="53"/>
    </row>
    <row r="34" spans="1:7" ht="15.75" customHeight="1" x14ac:dyDescent="0.3">
      <c r="C34" s="95">
        <v>150.96</v>
      </c>
      <c r="D34" s="88">
        <f t="shared" si="0"/>
        <v>-5.048574403859531E-3</v>
      </c>
      <c r="E34" s="53"/>
    </row>
    <row r="35" spans="1:7" ht="15.75" customHeight="1" x14ac:dyDescent="0.3">
      <c r="C35" s="95">
        <v>154.34</v>
      </c>
      <c r="D35" s="88">
        <f t="shared" si="0"/>
        <v>1.7228424923875964E-2</v>
      </c>
      <c r="E35" s="53"/>
    </row>
    <row r="36" spans="1:7" ht="15.75" customHeight="1" x14ac:dyDescent="0.3">
      <c r="C36" s="95">
        <v>151.27000000000001</v>
      </c>
      <c r="D36" s="88">
        <f t="shared" si="0"/>
        <v>-3.0054176607831806E-3</v>
      </c>
      <c r="E36" s="53"/>
    </row>
    <row r="37" spans="1:7" ht="15.75" customHeight="1" x14ac:dyDescent="0.3">
      <c r="C37" s="95">
        <v>150.84</v>
      </c>
      <c r="D37" s="88">
        <f t="shared" si="0"/>
        <v>-5.839473788276206E-3</v>
      </c>
      <c r="E37" s="53"/>
    </row>
    <row r="38" spans="1:7" ht="15.75" customHeight="1" x14ac:dyDescent="0.3">
      <c r="C38" s="95">
        <v>149.83000000000001</v>
      </c>
      <c r="D38" s="88">
        <f t="shared" si="0"/>
        <v>-1.2496210273782915E-2</v>
      </c>
      <c r="E38" s="53"/>
    </row>
    <row r="39" spans="1:7" ht="15.75" customHeight="1" x14ac:dyDescent="0.3">
      <c r="C39" s="95">
        <v>152.66</v>
      </c>
      <c r="D39" s="88">
        <f t="shared" si="0"/>
        <v>6.155833542042877E-3</v>
      </c>
      <c r="E39" s="53"/>
    </row>
    <row r="40" spans="1:7" ht="15.75" customHeight="1" x14ac:dyDescent="0.3">
      <c r="C40" s="95">
        <v>151.5</v>
      </c>
      <c r="D40" s="88">
        <f t="shared" si="0"/>
        <v>-1.489527173984677E-3</v>
      </c>
      <c r="E40" s="53"/>
    </row>
    <row r="41" spans="1:7" ht="15.75" customHeight="1" x14ac:dyDescent="0.3">
      <c r="C41" s="95">
        <v>153.81</v>
      </c>
      <c r="D41" s="88">
        <f t="shared" si="0"/>
        <v>1.3735285976035769E-2</v>
      </c>
      <c r="E41" s="53"/>
    </row>
    <row r="42" spans="1:7" ht="15.75" customHeight="1" x14ac:dyDescent="0.3">
      <c r="C42" s="95">
        <v>150.80000000000001</v>
      </c>
      <c r="D42" s="88">
        <f t="shared" si="0"/>
        <v>-6.1031069164150355E-3</v>
      </c>
      <c r="E42" s="53"/>
    </row>
    <row r="43" spans="1:7" ht="16.5" customHeight="1" x14ac:dyDescent="0.3">
      <c r="C43" s="96">
        <v>151.13</v>
      </c>
      <c r="D43" s="89">
        <f t="shared" si="0"/>
        <v>-3.9281336092693644E-3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3034.52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151.726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151.726</v>
      </c>
      <c r="C49" s="93">
        <f>-IF(C46&lt;=80,10%,IF(C46&lt;250,7.5%,5%))</f>
        <v>-7.4999999999999997E-2</v>
      </c>
      <c r="D49" s="81">
        <f>IF(C46&lt;=80,C46*0.9,IF(C46&lt;250,C46*0.925,C46*0.95))</f>
        <v>140.34655000000001</v>
      </c>
    </row>
    <row r="50" spans="1:6" ht="17.25" customHeight="1" x14ac:dyDescent="0.3">
      <c r="B50" s="285"/>
      <c r="C50" s="94">
        <f>IF(C46&lt;=80, 10%, IF(C46&lt;250, 7.5%, 5%))</f>
        <v>7.4999999999999997E-2</v>
      </c>
      <c r="D50" s="81">
        <f>IF(C46&lt;=80, C46*1.1, IF(C46&lt;250, C46*1.075, C46*1.05))</f>
        <v>163.10544999999999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" zoomScale="50" zoomScaleNormal="40" zoomScalePageLayoutView="50" workbookViewId="0">
      <selection activeCell="B22" sqref="B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>
        <v>42634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42635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131</v>
      </c>
      <c r="C26" s="324"/>
    </row>
    <row r="27" spans="1:14" ht="26.25" customHeight="1" x14ac:dyDescent="0.4">
      <c r="A27" s="109" t="s">
        <v>48</v>
      </c>
      <c r="B27" s="330" t="s">
        <v>132</v>
      </c>
      <c r="C27" s="330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6" t="s">
        <v>59</v>
      </c>
      <c r="E36" s="331"/>
      <c r="F36" s="306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11834118</v>
      </c>
      <c r="E38" s="133">
        <f>IF(ISBLANK(D38),"-",$D$48/$D$45*D38)</f>
        <v>11422959.978532694</v>
      </c>
      <c r="F38" s="132">
        <v>11156602</v>
      </c>
      <c r="G38" s="134">
        <f>IF(ISBLANK(F38),"-",$D$48/$F$45*F38)</f>
        <v>11190284.757118929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11778415</v>
      </c>
      <c r="E39" s="138">
        <f>IF(ISBLANK(D39),"-",$D$48/$D$45*D39)</f>
        <v>11369192.292619456</v>
      </c>
      <c r="F39" s="137">
        <v>11164085</v>
      </c>
      <c r="G39" s="139">
        <f>IF(ISBLANK(F39),"-",$D$48/$F$45*F39)</f>
        <v>11197790.348950341</v>
      </c>
      <c r="I39" s="308">
        <f>ABS((F43/D43*D42)-F42)/D42</f>
        <v>1.7076969545812882E-2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11779690</v>
      </c>
      <c r="E40" s="138">
        <f>IF(ISBLANK(D40),"-",$D$48/$D$45*D40)</f>
        <v>11370422.99472777</v>
      </c>
      <c r="F40" s="137">
        <v>11134667</v>
      </c>
      <c r="G40" s="139">
        <f>IF(ISBLANK(F40),"-",$D$48/$F$45*F40)</f>
        <v>11168283.533435643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11797407.666666666</v>
      </c>
      <c r="E42" s="148">
        <f>AVERAGE(E38:E41)</f>
        <v>11387525.08862664</v>
      </c>
      <c r="F42" s="147">
        <f>AVERAGE(F38:F41)</f>
        <v>11151784.666666666</v>
      </c>
      <c r="G42" s="149">
        <f>AVERAGE(G38:G41)</f>
        <v>11185452.87983497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26.03</v>
      </c>
      <c r="E43" s="140"/>
      <c r="F43" s="152">
        <v>25.05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26.03</v>
      </c>
      <c r="E44" s="155"/>
      <c r="F44" s="154">
        <f>F43*$B$34</f>
        <v>25.05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25.899850000000001</v>
      </c>
      <c r="E45" s="158"/>
      <c r="F45" s="157">
        <f>F44*$B$30/100</f>
        <v>24.92475</v>
      </c>
      <c r="H45" s="150"/>
    </row>
    <row r="46" spans="1:14" ht="19.5" customHeight="1" x14ac:dyDescent="0.3">
      <c r="A46" s="294" t="s">
        <v>78</v>
      </c>
      <c r="B46" s="295"/>
      <c r="C46" s="153" t="s">
        <v>79</v>
      </c>
      <c r="D46" s="159">
        <f>D45/$B$45</f>
        <v>2.5899850000000002E-2</v>
      </c>
      <c r="E46" s="160"/>
      <c r="F46" s="161">
        <f>F45/$B$45</f>
        <v>2.4924749999999999E-2</v>
      </c>
      <c r="H46" s="150"/>
    </row>
    <row r="47" spans="1:14" ht="27" customHeight="1" x14ac:dyDescent="0.4">
      <c r="A47" s="296"/>
      <c r="B47" s="297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11286488.984230807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9.9930816060145901E-3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Dapsone BP 100 mg.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 xml:space="preserve">Dapsone B.P  </v>
      </c>
      <c r="H56" s="179"/>
    </row>
    <row r="57" spans="1:12" ht="18.75" x14ac:dyDescent="0.3">
      <c r="A57" s="176" t="s">
        <v>88</v>
      </c>
      <c r="B57" s="247">
        <f>Uniformity!C46</f>
        <v>151.726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1" t="s">
        <v>94</v>
      </c>
      <c r="D60" s="314">
        <v>82.55</v>
      </c>
      <c r="E60" s="182">
        <v>1</v>
      </c>
      <c r="F60" s="183">
        <v>11898034</v>
      </c>
      <c r="G60" s="248">
        <f>IF(ISBLANK(F60),"-",(F60/$D$50*$D$47*$B$68)*($B$57/$D$60))</f>
        <v>96.878917812423978</v>
      </c>
      <c r="H60" s="266">
        <f t="shared" ref="H60:H71" si="0">IF(ISBLANK(F60),"-",(G60/$B$56)*100)</f>
        <v>96.878917812423978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2"/>
      <c r="D61" s="315"/>
      <c r="E61" s="184">
        <v>2</v>
      </c>
      <c r="F61" s="137">
        <v>12055952</v>
      </c>
      <c r="G61" s="249">
        <f>IF(ISBLANK(F61),"-",(F61/$D$50*$D$47*$B$68)*($B$57/$D$60))</f>
        <v>98.164754190358551</v>
      </c>
      <c r="H61" s="267">
        <f t="shared" si="0"/>
        <v>98.164754190358551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2"/>
      <c r="D62" s="315"/>
      <c r="E62" s="184">
        <v>3</v>
      </c>
      <c r="F62" s="185">
        <v>12070337</v>
      </c>
      <c r="G62" s="249">
        <f>IF(ISBLANK(F62),"-",(F62/$D$50*$D$47*$B$68)*($B$57/$D$60))</f>
        <v>98.281883056583979</v>
      </c>
      <c r="H62" s="267">
        <f t="shared" si="0"/>
        <v>98.281883056583979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1" t="s">
        <v>99</v>
      </c>
      <c r="D64" s="314">
        <v>75.400000000000006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12"/>
      <c r="D65" s="315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12"/>
      <c r="D66" s="315"/>
      <c r="E66" s="184">
        <v>3</v>
      </c>
      <c r="F66" s="137"/>
      <c r="G66" s="249" t="str">
        <f>IF(ISBLANK(F66),"-",(F66/$D$50*$D$47*$B$68)*($B$57/$D$64))</f>
        <v>-</v>
      </c>
      <c r="H66" s="267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21"/>
      <c r="D67" s="31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311" t="s">
        <v>104</v>
      </c>
      <c r="D68" s="314">
        <v>77.97</v>
      </c>
      <c r="E68" s="182">
        <v>1</v>
      </c>
      <c r="F68" s="183">
        <v>11427644</v>
      </c>
      <c r="G68" s="248">
        <f>IF(ISBLANK(F68),"-",(F68/$D$50*$D$47*$B$68)*($B$57/$D$68))</f>
        <v>98.514536677963491</v>
      </c>
      <c r="H68" s="267">
        <f t="shared" si="0"/>
        <v>98.514536677963491</v>
      </c>
    </row>
    <row r="69" spans="1:8" ht="27" customHeight="1" x14ac:dyDescent="0.4">
      <c r="A69" s="172" t="s">
        <v>105</v>
      </c>
      <c r="B69" s="189">
        <f>(D47*B68)/B56*B57</f>
        <v>75.863</v>
      </c>
      <c r="C69" s="312"/>
      <c r="D69" s="315"/>
      <c r="E69" s="184">
        <v>2</v>
      </c>
      <c r="F69" s="137">
        <v>11379876</v>
      </c>
      <c r="G69" s="249">
        <f>IF(ISBLANK(F69),"-",(F69/$D$50*$D$47*$B$68)*($B$57/$D$68))</f>
        <v>98.102742051876703</v>
      </c>
      <c r="H69" s="267">
        <f t="shared" si="0"/>
        <v>98.102742051876703</v>
      </c>
    </row>
    <row r="70" spans="1:8" ht="26.25" customHeight="1" x14ac:dyDescent="0.4">
      <c r="A70" s="317" t="s">
        <v>78</v>
      </c>
      <c r="B70" s="318"/>
      <c r="C70" s="312"/>
      <c r="D70" s="315"/>
      <c r="E70" s="184">
        <v>3</v>
      </c>
      <c r="F70" s="137">
        <v>11399826</v>
      </c>
      <c r="G70" s="249">
        <f>IF(ISBLANK(F70),"-",(F70/$D$50*$D$47*$B$68)*($B$57/$D$68))</f>
        <v>98.274725446417648</v>
      </c>
      <c r="H70" s="267">
        <f t="shared" si="0"/>
        <v>98.274725446417648</v>
      </c>
    </row>
    <row r="71" spans="1:8" ht="27" customHeight="1" x14ac:dyDescent="0.4">
      <c r="A71" s="319"/>
      <c r="B71" s="320"/>
      <c r="C71" s="313"/>
      <c r="D71" s="31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98.036259872604049</v>
      </c>
      <c r="H72" s="269">
        <f>AVERAGE(H60:H71)</f>
        <v>98.036259872604049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5.9587898696674508E-3</v>
      </c>
      <c r="H73" s="253">
        <f>STDEV(H60:H71)/H72</f>
        <v>5.9587898696674508E-3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298" t="str">
        <f>B26</f>
        <v>Dapsone</v>
      </c>
      <c r="D76" s="298"/>
      <c r="E76" s="198" t="s">
        <v>108</v>
      </c>
      <c r="F76" s="198"/>
      <c r="G76" s="199">
        <f>H72</f>
        <v>98.036259872604049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2" t="str">
        <f>B26</f>
        <v>Dapsone</v>
      </c>
      <c r="C79" s="332"/>
    </row>
    <row r="80" spans="1:8" ht="26.25" customHeight="1" x14ac:dyDescent="0.4">
      <c r="A80" s="109" t="s">
        <v>48</v>
      </c>
      <c r="B80" s="332" t="str">
        <f>B27</f>
        <v>D42-1</v>
      </c>
      <c r="C80" s="332"/>
    </row>
    <row r="81" spans="1:12" ht="27" customHeight="1" x14ac:dyDescent="0.4">
      <c r="A81" s="109" t="s">
        <v>6</v>
      </c>
      <c r="B81" s="201">
        <f>B28</f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06" t="s">
        <v>60</v>
      </c>
      <c r="G89" s="307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0.95599999999999996</v>
      </c>
      <c r="E91" s="133">
        <f>IF(ISBLANK(D91),"-",$D$101/$D$98*D91)</f>
        <v>0.86026101407991262</v>
      </c>
      <c r="F91" s="132">
        <v>0.89400000000000002</v>
      </c>
      <c r="G91" s="134">
        <f>IF(ISBLANK(F91),"-",$D$101/$F$98*F91)</f>
        <v>0.85826145653641339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0.95599999999999996</v>
      </c>
      <c r="E92" s="138">
        <f>IF(ISBLANK(D92),"-",$D$101/$D$98*D92)</f>
        <v>0.86026101407991262</v>
      </c>
      <c r="F92" s="137">
        <v>0.89800000000000002</v>
      </c>
      <c r="G92" s="139">
        <f>IF(ISBLANK(F92),"-",$D$101/$F$98*F92)</f>
        <v>0.86210155253881338</v>
      </c>
      <c r="I92" s="308">
        <f>ABS((F96/D96*D95)-F95)/D95</f>
        <v>4.3530722036332997E-4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0.95599999999999996</v>
      </c>
      <c r="E93" s="138">
        <f>IF(ISBLANK(D93),"-",$D$101/$D$98*D93)</f>
        <v>0.86026101407991262</v>
      </c>
      <c r="F93" s="137">
        <v>0.89500000000000002</v>
      </c>
      <c r="G93" s="139">
        <f>IF(ISBLANK(F93),"-",$D$101/$F$98*F93)</f>
        <v>0.85922148053701342</v>
      </c>
      <c r="I93" s="30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0.95599999999999996</v>
      </c>
      <c r="E95" s="148">
        <f>AVERAGE(E91:E94)</f>
        <v>0.86026101407991262</v>
      </c>
      <c r="F95" s="211">
        <f>AVERAGE(F91:F94)</f>
        <v>0.89566666666666672</v>
      </c>
      <c r="G95" s="212">
        <f>AVERAGE(G91:G94)</f>
        <v>0.85986149653741339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17.87</v>
      </c>
      <c r="E96" s="140"/>
      <c r="F96" s="152">
        <v>16.75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17.87</v>
      </c>
      <c r="E97" s="155"/>
      <c r="F97" s="154">
        <f>F96*$B$87</f>
        <v>16.75</v>
      </c>
    </row>
    <row r="98" spans="1:10" ht="19.5" customHeight="1" x14ac:dyDescent="0.3">
      <c r="A98" s="124" t="s">
        <v>76</v>
      </c>
      <c r="B98" s="217">
        <f>(B97/B96)*(B95/B94)*(B93/B92)*(B91/B90)*B89</f>
        <v>2000</v>
      </c>
      <c r="C98" s="215" t="s">
        <v>115</v>
      </c>
      <c r="D98" s="218">
        <f>D97*$B$83/100</f>
        <v>17.780650000000001</v>
      </c>
      <c r="E98" s="158"/>
      <c r="F98" s="157">
        <f>F97*$B$83/100</f>
        <v>16.666250000000002</v>
      </c>
    </row>
    <row r="99" spans="1:10" ht="19.5" customHeight="1" x14ac:dyDescent="0.3">
      <c r="A99" s="294" t="s">
        <v>78</v>
      </c>
      <c r="B99" s="309"/>
      <c r="C99" s="215" t="s">
        <v>116</v>
      </c>
      <c r="D99" s="219">
        <f>D98/$B$98</f>
        <v>8.890325000000001E-3</v>
      </c>
      <c r="E99" s="158"/>
      <c r="F99" s="161">
        <f>F98/$B$98</f>
        <v>8.3331250000000003E-3</v>
      </c>
      <c r="G99" s="220"/>
      <c r="H99" s="150"/>
    </row>
    <row r="100" spans="1:10" ht="19.5" customHeight="1" x14ac:dyDescent="0.3">
      <c r="A100" s="296"/>
      <c r="B100" s="310"/>
      <c r="C100" s="215" t="s">
        <v>80</v>
      </c>
      <c r="D100" s="221">
        <f>$B$56/$B$116</f>
        <v>8.0000000000000002E-3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0.86006125530866295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1.4914438620233998E-3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4</v>
      </c>
      <c r="C108" s="273">
        <v>1</v>
      </c>
      <c r="D108" s="333">
        <v>0.76100000000000001</v>
      </c>
      <c r="E108" s="250">
        <f t="shared" ref="E108:E113" si="1">IF(ISBLANK(D108),"-",D108/$D$103*$D$100*$B$116)</f>
        <v>88.482069771517459</v>
      </c>
      <c r="F108" s="274">
        <f t="shared" ref="F108:F113" si="2">IF(ISBLANK(D108), "-", (E108/$B$56)*100)</f>
        <v>88.482069771517459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334">
        <v>0.77600000000000002</v>
      </c>
      <c r="E109" s="251">
        <f t="shared" si="1"/>
        <v>90.226131593557881</v>
      </c>
      <c r="F109" s="275">
        <f t="shared" si="2"/>
        <v>90.226131593557881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334">
        <v>0.80800000000000005</v>
      </c>
      <c r="E110" s="251">
        <f t="shared" si="1"/>
        <v>93.946796813910794</v>
      </c>
      <c r="F110" s="275">
        <f t="shared" si="2"/>
        <v>93.946796813910794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334">
        <v>0.77800000000000002</v>
      </c>
      <c r="E111" s="251">
        <f t="shared" si="1"/>
        <v>90.458673169829936</v>
      </c>
      <c r="F111" s="275">
        <f t="shared" si="2"/>
        <v>90.458673169829936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334">
        <v>0.76100000000000001</v>
      </c>
      <c r="E112" s="251">
        <f t="shared" si="1"/>
        <v>88.482069771517459</v>
      </c>
      <c r="F112" s="275">
        <f t="shared" si="2"/>
        <v>88.482069771517459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335">
        <v>0.76700000000000002</v>
      </c>
      <c r="E113" s="252">
        <f t="shared" si="1"/>
        <v>89.179694500333625</v>
      </c>
      <c r="F113" s="276">
        <f t="shared" si="2"/>
        <v>89.179694500333625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90.129239270111199</v>
      </c>
      <c r="F115" s="278">
        <f>AVERAGE(F108:F113)</f>
        <v>90.129239270111199</v>
      </c>
    </row>
    <row r="116" spans="1:10" ht="27" customHeight="1" x14ac:dyDescent="0.4">
      <c r="A116" s="124" t="s">
        <v>103</v>
      </c>
      <c r="B116" s="156">
        <f>(B115/B114)*(B113/B112)*(B111/B110)*(B109/B108)*B107</f>
        <v>12500</v>
      </c>
      <c r="C116" s="234"/>
      <c r="D116" s="258" t="s">
        <v>84</v>
      </c>
      <c r="E116" s="256">
        <f>STDEV(E108:E113)/E115</f>
        <v>2.2748974822526139E-2</v>
      </c>
      <c r="F116" s="235">
        <f>STDEV(F108:F113)/F115</f>
        <v>2.2748974822526139E-2</v>
      </c>
      <c r="I116" s="98"/>
    </row>
    <row r="117" spans="1:10" ht="27" customHeight="1" x14ac:dyDescent="0.4">
      <c r="A117" s="294" t="s">
        <v>78</v>
      </c>
      <c r="B117" s="29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6"/>
      <c r="B118" s="297"/>
      <c r="C118" s="98"/>
      <c r="D118" s="260"/>
      <c r="E118" s="322" t="s">
        <v>123</v>
      </c>
      <c r="F118" s="32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88.482069771517459</v>
      </c>
      <c r="F119" s="279">
        <f>MIN(F108:F113)</f>
        <v>88.482069771517459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93.946796813910794</v>
      </c>
      <c r="F120" s="280">
        <f>MAX(F108:F113)</f>
        <v>93.946796813910794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298" t="str">
        <f>B26</f>
        <v>Dapsone</v>
      </c>
      <c r="D124" s="298"/>
      <c r="E124" s="198" t="s">
        <v>127</v>
      </c>
      <c r="F124" s="198"/>
      <c r="G124" s="281">
        <f>F115</f>
        <v>90.129239270111199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88.482069771517459</v>
      </c>
      <c r="E125" s="209" t="s">
        <v>130</v>
      </c>
      <c r="F125" s="281">
        <f>MAX(F108:F113)</f>
        <v>93.946796813910794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299" t="s">
        <v>26</v>
      </c>
      <c r="C127" s="299"/>
      <c r="E127" s="204" t="s">
        <v>27</v>
      </c>
      <c r="F127" s="239"/>
      <c r="G127" s="299" t="s">
        <v>28</v>
      </c>
      <c r="H127" s="29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Dapsone</vt:lpstr>
      <vt:lpstr>Dapsone!Print_Area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2016-10-05T05:30:26Z</cp:lastPrinted>
  <dcterms:created xsi:type="dcterms:W3CDTF">2005-07-05T10:19:27Z</dcterms:created>
  <dcterms:modified xsi:type="dcterms:W3CDTF">2016-10-05T06:22:26Z</dcterms:modified>
</cp:coreProperties>
</file>