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25" windowWidth="15015" windowHeight="7620" activeTab="6"/>
  </bookViews>
  <sheets>
    <sheet name="Uniformity" sheetId="27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EFFAVIRENZ!$A$1:$H$126</definedName>
    <definedName name="_xlnm.Print_Area" localSheetId="4">Lamivudine!$A$1:$H$125</definedName>
    <definedName name="_xlnm.Print_Area" localSheetId="2">'Tenofovir Disoproxil Fumarate'!$A$1:$I$126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7" i="26"/>
  <c r="B57" i="18"/>
  <c r="D50" i="27"/>
  <c r="D49"/>
  <c r="C49"/>
  <c r="B49"/>
  <c r="C46"/>
  <c r="C50" s="1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28" i="26" l="1"/>
  <c r="B27"/>
  <c r="B6"/>
  <c r="B29" i="25"/>
  <c r="B30" s="1"/>
  <c r="B8"/>
  <c r="B9" s="1"/>
  <c r="B27" i="24"/>
  <c r="B6"/>
  <c r="B39" i="26"/>
  <c r="E37"/>
  <c r="D37"/>
  <c r="C37"/>
  <c r="B37"/>
  <c r="B38" s="1"/>
  <c r="B18"/>
  <c r="E16"/>
  <c r="D16"/>
  <c r="C16"/>
  <c r="B16"/>
  <c r="B17" s="1"/>
  <c r="B41" i="25"/>
  <c r="E39"/>
  <c r="D39"/>
  <c r="C39"/>
  <c r="B39"/>
  <c r="B40" s="1"/>
  <c r="B20"/>
  <c r="E18"/>
  <c r="D18"/>
  <c r="C18"/>
  <c r="B18"/>
  <c r="B19" s="1"/>
  <c r="B39" i="24"/>
  <c r="E37"/>
  <c r="D37"/>
  <c r="C37"/>
  <c r="B37"/>
  <c r="B38" s="1"/>
  <c r="B25"/>
  <c r="B18"/>
  <c r="E16"/>
  <c r="D16"/>
  <c r="C16"/>
  <c r="B16"/>
  <c r="B17" s="1"/>
  <c r="B80" i="19"/>
  <c r="B23" i="20" l="1"/>
  <c r="B22"/>
  <c r="B19"/>
  <c r="B23" i="19"/>
  <c r="B22"/>
  <c r="B19"/>
  <c r="B57" i="20" l="1"/>
  <c r="B57" i="19"/>
  <c r="D64"/>
  <c r="D64" i="20" l="1"/>
  <c r="D68" i="19"/>
  <c r="D68" i="20" s="1"/>
  <c r="D60" i="19"/>
  <c r="D60" i="20" s="1"/>
  <c r="C120" l="1"/>
  <c r="B116"/>
  <c r="D100"/>
  <c r="B98"/>
  <c r="D101" s="1"/>
  <c r="F95"/>
  <c r="D95"/>
  <c r="G94"/>
  <c r="E94"/>
  <c r="B87"/>
  <c r="F97" s="1"/>
  <c r="F98" s="1"/>
  <c r="F99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B30"/>
  <c r="C120" i="19"/>
  <c r="B116"/>
  <c r="D100"/>
  <c r="B98"/>
  <c r="F95"/>
  <c r="D95"/>
  <c r="G94"/>
  <c r="E94"/>
  <c r="B87"/>
  <c r="F97" s="1"/>
  <c r="B83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B30"/>
  <c r="C120" i="18"/>
  <c r="B116"/>
  <c r="D100"/>
  <c r="D101" s="1"/>
  <c r="B98"/>
  <c r="F95"/>
  <c r="D95"/>
  <c r="G94"/>
  <c r="E94"/>
  <c r="B87"/>
  <c r="F97" s="1"/>
  <c r="F98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F46" s="1"/>
  <c r="B30"/>
  <c r="I92" i="20" l="1"/>
  <c r="F45" i="19"/>
  <c r="G38" s="1"/>
  <c r="D101"/>
  <c r="G93" s="1"/>
  <c r="F99" i="18"/>
  <c r="I92" i="19"/>
  <c r="I92" i="18"/>
  <c r="I39" i="20"/>
  <c r="I39" i="19"/>
  <c r="F46" i="20"/>
  <c r="F46" i="19"/>
  <c r="I39" i="18"/>
  <c r="G92"/>
  <c r="D102"/>
  <c r="G93"/>
  <c r="G91"/>
  <c r="F98" i="19"/>
  <c r="F99" s="1"/>
  <c r="G39" i="20"/>
  <c r="G40"/>
  <c r="D49"/>
  <c r="G38"/>
  <c r="G40" i="19"/>
  <c r="D49"/>
  <c r="G92" i="20"/>
  <c r="D102"/>
  <c r="G93"/>
  <c r="G91"/>
  <c r="G39" i="18"/>
  <c r="G40"/>
  <c r="D49"/>
  <c r="G38"/>
  <c r="D97"/>
  <c r="D98" s="1"/>
  <c r="D99" s="1"/>
  <c r="D97" i="19"/>
  <c r="D98" s="1"/>
  <c r="D99" s="1"/>
  <c r="D97" i="20"/>
  <c r="D98" s="1"/>
  <c r="D99" s="1"/>
  <c r="D44" i="18"/>
  <c r="D45" s="1"/>
  <c r="D46" s="1"/>
  <c r="D44" i="19"/>
  <c r="D45" s="1"/>
  <c r="D46" s="1"/>
  <c r="D44" i="20"/>
  <c r="D45" s="1"/>
  <c r="D46" s="1"/>
  <c r="G39" i="19" l="1"/>
  <c r="G42" s="1"/>
  <c r="G92"/>
  <c r="D102"/>
  <c r="G95" i="18"/>
  <c r="G95" i="20"/>
  <c r="E92"/>
  <c r="E93" i="19"/>
  <c r="E38" i="20"/>
  <c r="E39"/>
  <c r="G42" i="18"/>
  <c r="E91" i="20"/>
  <c r="E40"/>
  <c r="E92" i="18"/>
  <c r="E91"/>
  <c r="E38"/>
  <c r="E39"/>
  <c r="E93" i="20"/>
  <c r="E40" i="19"/>
  <c r="G91"/>
  <c r="E40" i="18"/>
  <c r="E38" i="19"/>
  <c r="E39"/>
  <c r="G42" i="20"/>
  <c r="E93" i="18"/>
  <c r="E92" i="19"/>
  <c r="E91"/>
  <c r="E42" i="20" l="1"/>
  <c r="G95" i="19"/>
  <c r="D50" i="20"/>
  <c r="G65" s="1"/>
  <c r="H65" s="1"/>
  <c r="D52"/>
  <c r="D103" i="18"/>
  <c r="E95"/>
  <c r="D105"/>
  <c r="D50" i="19"/>
  <c r="E42"/>
  <c r="D52"/>
  <c r="D103"/>
  <c r="E95"/>
  <c r="D105"/>
  <c r="D50" i="18"/>
  <c r="E42"/>
  <c r="D52"/>
  <c r="D103" i="20"/>
  <c r="E95"/>
  <c r="D105"/>
  <c r="G61" l="1"/>
  <c r="H61" s="1"/>
  <c r="G70"/>
  <c r="H70" s="1"/>
  <c r="G64"/>
  <c r="H64" s="1"/>
  <c r="G66"/>
  <c r="H66" s="1"/>
  <c r="G62"/>
  <c r="H62" s="1"/>
  <c r="G68"/>
  <c r="H68" s="1"/>
  <c r="G60"/>
  <c r="G69"/>
  <c r="H69" s="1"/>
  <c r="D51"/>
  <c r="E113"/>
  <c r="F113" s="1"/>
  <c r="E111"/>
  <c r="F111" s="1"/>
  <c r="E109"/>
  <c r="F109" s="1"/>
  <c r="D104"/>
  <c r="E112"/>
  <c r="F112" s="1"/>
  <c r="E110"/>
  <c r="F110" s="1"/>
  <c r="E108"/>
  <c r="E113" i="19"/>
  <c r="F113" s="1"/>
  <c r="E111"/>
  <c r="F111" s="1"/>
  <c r="E109"/>
  <c r="F109" s="1"/>
  <c r="D104"/>
  <c r="E112"/>
  <c r="F112" s="1"/>
  <c r="E110"/>
  <c r="F110" s="1"/>
  <c r="E108"/>
  <c r="E113" i="18"/>
  <c r="F113" s="1"/>
  <c r="E111"/>
  <c r="F111" s="1"/>
  <c r="E109"/>
  <c r="F109" s="1"/>
  <c r="D104"/>
  <c r="E112"/>
  <c r="F112" s="1"/>
  <c r="E110"/>
  <c r="F110" s="1"/>
  <c r="E108"/>
  <c r="D51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D51" i="19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G72" i="20" l="1"/>
  <c r="G73" s="1"/>
  <c r="G74"/>
  <c r="H60"/>
  <c r="H72" s="1"/>
  <c r="G74" i="19"/>
  <c r="G72"/>
  <c r="G73" s="1"/>
  <c r="H60"/>
  <c r="E117" i="18"/>
  <c r="F108"/>
  <c r="E115"/>
  <c r="E116" s="1"/>
  <c r="G74"/>
  <c r="G72"/>
  <c r="G73" s="1"/>
  <c r="H60"/>
  <c r="E117" i="20"/>
  <c r="F108"/>
  <c r="E115"/>
  <c r="E116" s="1"/>
  <c r="E117" i="19"/>
  <c r="F108"/>
  <c r="E115"/>
  <c r="E116" s="1"/>
  <c r="H74" i="20" l="1"/>
  <c r="F117" i="19"/>
  <c r="F115"/>
  <c r="G76" i="20"/>
  <c r="H73"/>
  <c r="H74" i="19"/>
  <c r="H72"/>
  <c r="F117" i="20"/>
  <c r="F115"/>
  <c r="H74" i="18"/>
  <c r="H72"/>
  <c r="F117"/>
  <c r="F115"/>
  <c r="G120" l="1"/>
  <c r="F116"/>
  <c r="G120" i="20"/>
  <c r="F116"/>
  <c r="G76" i="19"/>
  <c r="H73"/>
  <c r="G120"/>
  <c r="F116"/>
  <c r="G76" i="18"/>
  <c r="H73"/>
</calcChain>
</file>

<file path=xl/sharedStrings.xml><?xml version="1.0" encoding="utf-8"?>
<sst xmlns="http://schemas.openxmlformats.org/spreadsheetml/2006/main" count="641" uniqueCount="136">
  <si>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</si>
  <si>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</si>
  <si>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</si>
  <si>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</si>
  <si>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</si>
  <si>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</si>
  <si>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</si>
  <si>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</si>
  <si>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</si>
  <si>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</si>
  <si>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</si>
  <si>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</si>
  <si>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</si>
  <si>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</si>
  <si>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</si>
  <si>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</si>
  <si>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</si>
  <si>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</si>
  <si>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</si>
  <si>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</si>
  <si>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</si>
  <si>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</si>
  <si>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</si>
  <si>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</si>
  <si>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</si>
  <si>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</si>
  <si>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</si>
  <si>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</si>
  <si>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</si>
  <si>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</si>
  <si>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</si>
  <si>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</si>
  <si>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</si>
  <si>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</si>
  <si>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</si>
  <si>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</si>
  <si>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</si>
  <si>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</si>
  <si>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</si>
  <si>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</si>
  <si>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</si>
  <si>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</si>
  <si>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</si>
  <si>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</si>
  <si>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</si>
  <si>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</si>
  <si>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</si>
  <si>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</si>
  <si>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</si>
  <si>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</si>
  <si>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</si>
  <si>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</si>
  <si>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</si>
  <si>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</si>
  <si>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</si>
  <si>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</si>
  <si>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</si>
  <si>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</si>
  <si>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</si>
  <si>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</si>
  <si>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</si>
  <si>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</si>
  <si>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</si>
  <si>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</si>
  <si>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</si>
  <si>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</si>
  <si>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</si>
  <si>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</si>
  <si>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</si>
  <si>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</si>
  <si>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</si>
  <si>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</si>
  <si>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</si>
  <si>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</si>
  <si>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</si>
  <si>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</si>
  <si>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</si>
  <si>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</si>
  <si>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</si>
  <si>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</si>
  <si>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</si>
  <si>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</si>
  <si>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</si>
  <si>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</si>
  <si>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</si>
  <si>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</si>
  <si>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</si>
  <si>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</si>
  <si>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</si>
  <si>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</si>
  <si>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</si>
  <si>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</si>
  <si>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</si>
  <si>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</si>
  <si>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</si>
  <si>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</si>
  <si>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</si>
  <si>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</si>
  <si>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</si>
  <si>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</si>
  <si>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</si>
  <si>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</si>
  <si>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</si>
  <si>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</si>
  <si>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</si>
  <si>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</si>
  <si>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</si>
  <si>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</si>
  <si>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</si>
  <si>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</si>
  <si>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</si>
  <si>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</si>
  <si>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</si>
  <si>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</si>
  <si>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</si>
  <si>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</si>
  <si>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</si>
  <si>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</si>
  <si>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</si>
  <si>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</si>
  <si>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</si>
  <si>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</si>
  <si>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</si>
  <si>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</si>
  <si>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</si>
  <si>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</si>
  <si>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</si>
  <si>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Efavirenz</t>
  </si>
  <si>
    <t>TENOFOVIR DISOPROXIL FUMARATE, LAMIVUDINE &amp; EFAVIRENZ TABLETS</t>
  </si>
  <si>
    <t>Tenofovir Disoproxil Fumarate 300mg, Lamivudine 300mg &amp; Efavirenz 600mg tablets</t>
  </si>
  <si>
    <t>Each tablet contains Tenofovir Disoproxil Fumarate 300mg, Lamivudine 300mg &amp; Efavirenz 600mg tablets</t>
  </si>
  <si>
    <t>L3-10</t>
  </si>
  <si>
    <t>E15-3</t>
  </si>
  <si>
    <t>Tenofovir DF</t>
  </si>
  <si>
    <t>NDQB201608082</t>
  </si>
  <si>
    <t>2016-08-23 13:04:12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</si>
</sst>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  <xf numFmtId="0" fontId="22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0" fontId="5" fillId="2" borderId="0" xfId="8" applyFont="1" applyFill="1" applyAlignment="1">
      <alignment horizontal="center" vertical="top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2" fontId="5" fillId="2" borderId="0" xfId="8" applyNumberFormat="1" applyFont="1" applyFill="1" applyAlignment="1">
      <alignment horizontal="left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0" applyFont="1" applyFill="1"/>
    <xf numFmtId="0" fontId="4" fillId="2" borderId="0" xfId="10" applyFont="1" applyFill="1"/>
    <xf numFmtId="0" fontId="4" fillId="2" borderId="0" xfId="10" applyFont="1" applyFill="1" applyAlignment="1">
      <alignment horizontal="lef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0" fontId="6" fillId="2" borderId="0" xfId="10" applyFont="1" applyFill="1"/>
    <xf numFmtId="0" fontId="5" fillId="2" borderId="0" xfId="10" applyFont="1" applyFill="1"/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22" fontId="6" fillId="2" borderId="0" xfId="10" applyNumberFormat="1" applyFont="1" applyFill="1"/>
    <xf numFmtId="0" fontId="5" fillId="2" borderId="1" xfId="10" applyFont="1" applyFill="1" applyBorder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7" xfId="10" applyFont="1" applyFill="1" applyBorder="1"/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0" fontId="2" fillId="2" borderId="0" xfId="10" applyFont="1" applyFill="1" applyAlignment="1">
      <alignment horizontal="center"/>
    </xf>
    <xf numFmtId="10" fontId="2" fillId="2" borderId="9" xfId="10" applyNumberFormat="1" applyFont="1" applyFill="1" applyBorder="1"/>
    <xf numFmtId="0" fontId="21" fillId="2" borderId="0" xfId="10" applyFill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10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40" xfId="2" applyFont="1" applyFill="1" applyBorder="1" applyAlignment="1">
      <alignment horizontal="center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40" xfId="4" applyFont="1" applyFill="1" applyBorder="1" applyAlignment="1">
      <alignment horizontal="center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10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0" xfId="5" applyFont="1" applyFill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40" xfId="5" applyFont="1" applyFill="1" applyBorder="1" applyAlignment="1">
      <alignment horizont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23" fillId="2" borderId="0" xfId="11" applyFont="1" applyFill="1"/>
    <xf numFmtId="0" fontId="30" fillId="2" borderId="18" xfId="11" applyFont="1" applyFill="1" applyBorder="1" applyAlignment="1">
      <alignment horizontal="center" wrapText="1"/>
    </xf>
    <xf numFmtId="0" fontId="30" fillId="2" borderId="19" xfId="11" applyFont="1" applyFill="1" applyBorder="1" applyAlignment="1">
      <alignment horizontal="center" wrapText="1"/>
    </xf>
    <xf numFmtId="0" fontId="30" fillId="2" borderId="20" xfId="11" applyFont="1" applyFill="1" applyBorder="1" applyAlignment="1">
      <alignment horizontal="center" wrapText="1"/>
    </xf>
    <xf numFmtId="0" fontId="30" fillId="2" borderId="0" xfId="11" applyFont="1" applyFill="1" applyAlignment="1">
      <alignment wrapText="1"/>
    </xf>
    <xf numFmtId="0" fontId="29" fillId="2" borderId="0" xfId="11" applyFont="1" applyFill="1" applyAlignment="1">
      <alignment horizontal="center"/>
    </xf>
    <xf numFmtId="0" fontId="29" fillId="2" borderId="0" xfId="11" applyFont="1" applyFill="1"/>
    <xf numFmtId="0" fontId="25" fillId="2" borderId="0" xfId="11" applyFont="1" applyFill="1" applyAlignment="1">
      <alignment horizontal="right"/>
    </xf>
    <xf numFmtId="0" fontId="24" fillId="2" borderId="0" xfId="11" applyFont="1" applyFill="1"/>
    <xf numFmtId="167" fontId="24" fillId="2" borderId="0" xfId="11" applyNumberFormat="1" applyFont="1" applyFill="1" applyAlignment="1">
      <alignment horizontal="center"/>
    </xf>
    <xf numFmtId="0" fontId="25" fillId="2" borderId="0" xfId="11" applyFont="1" applyFill="1" applyAlignment="1">
      <alignment horizontal="right"/>
    </xf>
    <xf numFmtId="167" fontId="24" fillId="2" borderId="0" xfId="11" applyNumberFormat="1" applyFont="1" applyFill="1"/>
    <xf numFmtId="0" fontId="29" fillId="2" borderId="0" xfId="11" applyFont="1" applyFill="1" applyAlignment="1">
      <alignment horizontal="left"/>
    </xf>
    <xf numFmtId="0" fontId="26" fillId="2" borderId="0" xfId="11" applyFont="1" applyFill="1"/>
    <xf numFmtId="164" fontId="23" fillId="2" borderId="0" xfId="11" applyNumberFormat="1" applyFont="1" applyFill="1" applyAlignment="1">
      <alignment horizontal="center"/>
    </xf>
    <xf numFmtId="164" fontId="23" fillId="2" borderId="0" xfId="11" applyNumberFormat="1" applyFont="1" applyFill="1"/>
    <xf numFmtId="164" fontId="25" fillId="2" borderId="12" xfId="11" applyNumberFormat="1" applyFont="1" applyFill="1" applyBorder="1" applyAlignment="1">
      <alignment horizontal="center" wrapText="1"/>
    </xf>
    <xf numFmtId="0" fontId="25" fillId="2" borderId="12" xfId="11" applyFont="1" applyFill="1" applyBorder="1" applyAlignment="1">
      <alignment horizontal="center" wrapText="1"/>
    </xf>
    <xf numFmtId="0" fontId="28" fillId="2" borderId="0" xfId="11" applyFont="1" applyFill="1" applyAlignment="1">
      <alignment horizontal="center"/>
    </xf>
    <xf numFmtId="2" fontId="24" fillId="3" borderId="14" xfId="11" applyNumberFormat="1" applyFont="1" applyFill="1" applyBorder="1" applyProtection="1">
      <protection locked="0"/>
    </xf>
    <xf numFmtId="10" fontId="24" fillId="2" borderId="13" xfId="11" applyNumberFormat="1" applyFont="1" applyFill="1" applyBorder="1" applyAlignment="1">
      <alignment horizontal="center"/>
    </xf>
    <xf numFmtId="10" fontId="24" fillId="2" borderId="0" xfId="11" applyNumberFormat="1" applyFont="1" applyFill="1" applyAlignment="1">
      <alignment horizontal="center"/>
    </xf>
    <xf numFmtId="10" fontId="24" fillId="2" borderId="14" xfId="11" applyNumberFormat="1" applyFont="1" applyFill="1" applyBorder="1" applyAlignment="1">
      <alignment horizontal="center"/>
    </xf>
    <xf numFmtId="2" fontId="24" fillId="3" borderId="15" xfId="11" applyNumberFormat="1" applyFont="1" applyFill="1" applyBorder="1" applyProtection="1">
      <protection locked="0"/>
    </xf>
    <xf numFmtId="10" fontId="24" fillId="2" borderId="15" xfId="11" applyNumberFormat="1" applyFont="1" applyFill="1" applyBorder="1" applyAlignment="1">
      <alignment horizontal="center"/>
    </xf>
    <xf numFmtId="166" fontId="28" fillId="2" borderId="0" xfId="11" applyNumberFormat="1" applyFont="1" applyFill="1" applyAlignment="1">
      <alignment horizontal="center"/>
    </xf>
    <xf numFmtId="10" fontId="28" fillId="2" borderId="0" xfId="11" applyNumberFormat="1" applyFont="1" applyFill="1" applyAlignment="1">
      <alignment horizontal="center"/>
    </xf>
    <xf numFmtId="0" fontId="24" fillId="2" borderId="12" xfId="11" applyFont="1" applyFill="1" applyBorder="1" applyAlignment="1">
      <alignment horizontal="right" vertical="center"/>
    </xf>
    <xf numFmtId="166" fontId="24" fillId="2" borderId="12" xfId="11" applyNumberFormat="1" applyFont="1" applyFill="1" applyBorder="1" applyAlignment="1">
      <alignment horizontal="center" vertical="center"/>
    </xf>
    <xf numFmtId="166" fontId="24" fillId="2" borderId="0" xfId="11" applyNumberFormat="1" applyFont="1" applyFill="1" applyAlignment="1">
      <alignment horizontal="center"/>
    </xf>
    <xf numFmtId="164" fontId="25" fillId="2" borderId="12" xfId="11" applyNumberFormat="1" applyFont="1" applyFill="1" applyBorder="1" applyAlignment="1">
      <alignment horizontal="center" vertical="center"/>
    </xf>
    <xf numFmtId="2" fontId="27" fillId="2" borderId="0" xfId="11" applyNumberFormat="1" applyFont="1" applyFill="1" applyAlignment="1">
      <alignment horizontal="right"/>
    </xf>
    <xf numFmtId="2" fontId="25" fillId="2" borderId="0" xfId="11" applyNumberFormat="1" applyFont="1" applyFill="1"/>
    <xf numFmtId="2" fontId="27" fillId="2" borderId="0" xfId="11" applyNumberFormat="1" applyFont="1" applyFill="1"/>
    <xf numFmtId="0" fontId="25" fillId="2" borderId="12" xfId="11" applyFont="1" applyFill="1" applyBorder="1" applyAlignment="1">
      <alignment horizontal="center" vertical="center"/>
    </xf>
    <xf numFmtId="10" fontId="28" fillId="2" borderId="0" xfId="11" applyNumberFormat="1" applyFont="1" applyFill="1"/>
    <xf numFmtId="166" fontId="25" fillId="2" borderId="13" xfId="11" applyNumberFormat="1" applyFont="1" applyFill="1" applyBorder="1" applyAlignment="1">
      <alignment horizontal="center" vertical="center"/>
    </xf>
    <xf numFmtId="165" fontId="25" fillId="2" borderId="16" xfId="11" applyNumberFormat="1" applyFont="1" applyFill="1" applyBorder="1" applyAlignment="1">
      <alignment horizontal="center"/>
    </xf>
    <xf numFmtId="2" fontId="25" fillId="2" borderId="12" xfId="11" applyNumberFormat="1" applyFont="1" applyFill="1" applyBorder="1" applyAlignment="1">
      <alignment horizontal="center" vertical="center"/>
    </xf>
    <xf numFmtId="166" fontId="25" fillId="2" borderId="15" xfId="11" applyNumberFormat="1" applyFont="1" applyFill="1" applyBorder="1" applyAlignment="1">
      <alignment horizontal="center" vertical="center"/>
    </xf>
    <xf numFmtId="165" fontId="25" fillId="2" borderId="17" xfId="11" applyNumberFormat="1" applyFont="1" applyFill="1" applyBorder="1" applyAlignment="1">
      <alignment horizontal="center"/>
    </xf>
    <xf numFmtId="0" fontId="24" fillId="2" borderId="9" xfId="11" applyFont="1" applyFill="1" applyBorder="1"/>
    <xf numFmtId="0" fontId="24" fillId="2" borderId="0" xfId="11" applyFont="1" applyFill="1" applyAlignment="1">
      <alignment horizontal="center"/>
    </xf>
    <xf numFmtId="10" fontId="24" fillId="2" borderId="9" xfId="11" applyNumberFormat="1" applyFont="1" applyFill="1" applyBorder="1"/>
    <xf numFmtId="0" fontId="25" fillId="2" borderId="10" xfId="11" applyFont="1" applyFill="1" applyBorder="1"/>
    <xf numFmtId="0" fontId="25" fillId="2" borderId="10" xfId="11" applyFont="1" applyFill="1" applyBorder="1" applyAlignment="1">
      <alignment horizontal="center"/>
    </xf>
    <xf numFmtId="0" fontId="24" fillId="2" borderId="10" xfId="11" applyFont="1" applyFill="1" applyBorder="1" applyAlignment="1">
      <alignment horizontal="center"/>
    </xf>
    <xf numFmtId="0" fontId="24" fillId="2" borderId="7" xfId="11" applyFont="1" applyFill="1" applyBorder="1"/>
    <xf numFmtId="0" fontId="25" fillId="2" borderId="11" xfId="11" applyFont="1" applyFill="1" applyBorder="1"/>
    <xf numFmtId="0" fontId="25" fillId="2" borderId="0" xfId="11" applyFont="1" applyFill="1"/>
    <xf numFmtId="0" fontId="24" fillId="2" borderId="11" xfId="11" applyFont="1" applyFill="1" applyBorder="1"/>
    <xf numFmtId="0" fontId="0" fillId="2" borderId="0" xfId="11" applyFont="1" applyFill="1"/>
  </cellXfs>
  <cellStyles count="12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  <cellStyle name="Normal 9" xfId="11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8" workbookViewId="0">
      <selection activeCell="B32" sqref="B32"/>
    </sheetView>
  </sheetViews>
  <sheetFormatPr defaultRowHeight="15"/>
  <cols>
    <col min="1" max="1" width="15.5703125" style="753" customWidth="1"/>
    <col min="2" max="2" width="18.42578125" style="753" customWidth="1"/>
    <col min="3" max="3" width="14.28515625" style="753" customWidth="1"/>
    <col min="4" max="4" width="15" style="753" customWidth="1"/>
    <col min="5" max="5" width="9.140625" style="753" customWidth="1"/>
    <col min="6" max="6" width="27.85546875" style="753" customWidth="1"/>
    <col min="7" max="7" width="12.28515625" style="753" customWidth="1"/>
    <col min="8" max="8" width="9.140625" style="753" customWidth="1"/>
    <col min="9" max="16384" width="9.140625" style="804"/>
  </cols>
  <sheetData>
    <row r="10" spans="1:7" ht="13.5" customHeight="1" thickBot="1"/>
    <row r="11" spans="1:7" ht="13.5" customHeight="1" thickBot="1">
      <c r="A11" s="754" t="s">
        <v>27</v>
      </c>
      <c r="B11" s="755"/>
      <c r="C11" s="755"/>
      <c r="D11" s="755"/>
      <c r="E11" s="755"/>
      <c r="F11" s="756"/>
      <c r="G11" s="757"/>
    </row>
    <row r="12" spans="1:7" ht="16.5" customHeight="1">
      <c r="A12" s="758" t="s">
        <v>28</v>
      </c>
      <c r="B12" s="758"/>
      <c r="C12" s="758"/>
      <c r="D12" s="758"/>
      <c r="E12" s="758"/>
      <c r="F12" s="758"/>
      <c r="G12" s="759"/>
    </row>
    <row r="14" spans="1:7" ht="16.5" customHeight="1">
      <c r="A14" s="760" t="s">
        <v>29</v>
      </c>
      <c r="B14" s="760"/>
      <c r="C14" s="761" t="s">
        <v>128</v>
      </c>
    </row>
    <row r="15" spans="1:7" ht="16.5" customHeight="1">
      <c r="A15" s="760" t="s">
        <v>30</v>
      </c>
      <c r="B15" s="760"/>
      <c r="C15" s="761" t="s">
        <v>134</v>
      </c>
    </row>
    <row r="16" spans="1:7" ht="16.5" customHeight="1">
      <c r="A16" s="760" t="s">
        <v>31</v>
      </c>
      <c r="B16" s="760"/>
      <c r="C16" s="761" t="s">
        <v>129</v>
      </c>
    </row>
    <row r="17" spans="1:5" ht="16.5" customHeight="1">
      <c r="A17" s="760" t="s">
        <v>32</v>
      </c>
      <c r="B17" s="760"/>
      <c r="C17" s="761" t="s">
        <v>130</v>
      </c>
    </row>
    <row r="18" spans="1:5" ht="16.5" customHeight="1">
      <c r="A18" s="760" t="s">
        <v>33</v>
      </c>
      <c r="B18" s="760"/>
      <c r="C18" s="762" t="s">
        <v>135</v>
      </c>
    </row>
    <row r="19" spans="1:5" ht="16.5" customHeight="1">
      <c r="A19" s="760" t="s">
        <v>34</v>
      </c>
      <c r="B19" s="760"/>
      <c r="C19" s="762" t="e">
        <f>#REF!</f>
        <v>#REF!</v>
      </c>
    </row>
    <row r="20" spans="1:5" ht="16.5" customHeight="1">
      <c r="A20" s="763"/>
      <c r="B20" s="763"/>
      <c r="C20" s="764"/>
    </row>
    <row r="21" spans="1:5" ht="16.5" customHeight="1">
      <c r="A21" s="758" t="s">
        <v>1</v>
      </c>
      <c r="B21" s="758"/>
      <c r="C21" s="765" t="s">
        <v>35</v>
      </c>
      <c r="D21" s="766"/>
    </row>
    <row r="22" spans="1:5" ht="15.75" customHeight="1" thickBot="1">
      <c r="A22" s="767"/>
      <c r="B22" s="767"/>
      <c r="C22" s="768"/>
      <c r="D22" s="767"/>
      <c r="E22" s="767"/>
    </row>
    <row r="23" spans="1:5" ht="33.75" customHeight="1" thickBot="1">
      <c r="C23" s="769" t="s">
        <v>36</v>
      </c>
      <c r="D23" s="770" t="s">
        <v>37</v>
      </c>
      <c r="E23" s="771"/>
    </row>
    <row r="24" spans="1:5" ht="15.75" customHeight="1">
      <c r="C24" s="772">
        <v>1907.31</v>
      </c>
      <c r="D24" s="773">
        <f t="shared" ref="D24:D43" si="0">(C24-$C$46)/$C$46</f>
        <v>5.0465476439521401E-3</v>
      </c>
      <c r="E24" s="774"/>
    </row>
    <row r="25" spans="1:5" ht="15.75" customHeight="1">
      <c r="C25" s="772">
        <v>1904.56</v>
      </c>
      <c r="D25" s="775">
        <f t="shared" si="0"/>
        <v>3.5974502208689137E-3</v>
      </c>
      <c r="E25" s="774"/>
    </row>
    <row r="26" spans="1:5" ht="15.75" customHeight="1">
      <c r="C26" s="772">
        <v>1894.79</v>
      </c>
      <c r="D26" s="775">
        <f t="shared" si="0"/>
        <v>-1.5507977149576662E-3</v>
      </c>
      <c r="E26" s="774"/>
    </row>
    <row r="27" spans="1:5" ht="15.75" customHeight="1">
      <c r="C27" s="772">
        <v>1904.3</v>
      </c>
      <c r="D27" s="775">
        <f t="shared" si="0"/>
        <v>3.4604446463228681E-3</v>
      </c>
      <c r="E27" s="774"/>
    </row>
    <row r="28" spans="1:5" ht="15.75" customHeight="1">
      <c r="C28" s="772">
        <v>1895.31</v>
      </c>
      <c r="D28" s="775">
        <f t="shared" si="0"/>
        <v>-1.2767865658655747E-3</v>
      </c>
      <c r="E28" s="774"/>
    </row>
    <row r="29" spans="1:5" ht="15.75" customHeight="1">
      <c r="C29" s="772">
        <v>1917.8</v>
      </c>
      <c r="D29" s="775">
        <f t="shared" si="0"/>
        <v>1.0574195632367797E-2</v>
      </c>
      <c r="E29" s="774"/>
    </row>
    <row r="30" spans="1:5" ht="15.75" customHeight="1">
      <c r="C30" s="772">
        <v>1880.83</v>
      </c>
      <c r="D30" s="775">
        <f t="shared" si="0"/>
        <v>-8.9069431790456278E-3</v>
      </c>
      <c r="E30" s="774"/>
    </row>
    <row r="31" spans="1:5" ht="15.75" customHeight="1">
      <c r="C31" s="772">
        <v>1902.17</v>
      </c>
      <c r="D31" s="775">
        <f t="shared" si="0"/>
        <v>2.338052824080286E-3</v>
      </c>
      <c r="E31" s="774"/>
    </row>
    <row r="32" spans="1:5" ht="15.75" customHeight="1">
      <c r="C32" s="772">
        <v>1911.16</v>
      </c>
      <c r="D32" s="775">
        <f t="shared" si="0"/>
        <v>7.0752840362687287E-3</v>
      </c>
      <c r="E32" s="774"/>
    </row>
    <row r="33" spans="1:7" ht="15.75" customHeight="1">
      <c r="C33" s="772">
        <v>1920.36</v>
      </c>
      <c r="D33" s="775">
        <f t="shared" si="0"/>
        <v>1.1923173597128882E-2</v>
      </c>
      <c r="E33" s="774"/>
    </row>
    <row r="34" spans="1:7" ht="15.75" customHeight="1">
      <c r="C34" s="772">
        <v>1884.41</v>
      </c>
      <c r="D34" s="775">
        <f t="shared" si="0"/>
        <v>-7.0204818064499271E-3</v>
      </c>
      <c r="E34" s="774"/>
    </row>
    <row r="35" spans="1:7" ht="15.75" customHeight="1">
      <c r="C35" s="772">
        <v>1911.7</v>
      </c>
      <c r="D35" s="775">
        <f t="shared" si="0"/>
        <v>7.3598340757105073E-3</v>
      </c>
      <c r="E35" s="774"/>
    </row>
    <row r="36" spans="1:7" ht="15.75" customHeight="1">
      <c r="C36" s="772">
        <v>1895.87</v>
      </c>
      <c r="D36" s="775">
        <f t="shared" si="0"/>
        <v>-9.8169763607411017E-4</v>
      </c>
      <c r="E36" s="774"/>
    </row>
    <row r="37" spans="1:7" ht="15.75" customHeight="1">
      <c r="C37" s="772">
        <v>1885.39</v>
      </c>
      <c r="D37" s="775">
        <f t="shared" si="0"/>
        <v>-6.5040761793148045E-3</v>
      </c>
      <c r="E37" s="774"/>
    </row>
    <row r="38" spans="1:7" ht="15.75" customHeight="1">
      <c r="C38" s="772">
        <v>1882.44</v>
      </c>
      <c r="D38" s="775">
        <f t="shared" si="0"/>
        <v>-8.0585625058950169E-3</v>
      </c>
      <c r="E38" s="774"/>
    </row>
    <row r="39" spans="1:7" ht="15.75" customHeight="1">
      <c r="C39" s="772">
        <v>1902.33</v>
      </c>
      <c r="D39" s="775">
        <f t="shared" si="0"/>
        <v>2.4223639468777787E-3</v>
      </c>
      <c r="E39" s="774"/>
    </row>
    <row r="40" spans="1:7" ht="15.75" customHeight="1">
      <c r="C40" s="772">
        <v>1873.9</v>
      </c>
      <c r="D40" s="775">
        <f t="shared" si="0"/>
        <v>-1.2558668685215272E-2</v>
      </c>
      <c r="E40" s="774"/>
    </row>
    <row r="41" spans="1:7" ht="15.75" customHeight="1">
      <c r="C41" s="772">
        <v>1897.61</v>
      </c>
      <c r="D41" s="775">
        <f t="shared" si="0"/>
        <v>-6.4814175650536684E-5</v>
      </c>
      <c r="E41" s="774"/>
    </row>
    <row r="42" spans="1:7" ht="15.75" customHeight="1">
      <c r="C42" s="772">
        <v>1899.04</v>
      </c>
      <c r="D42" s="775">
        <f t="shared" si="0"/>
        <v>6.887164843527746E-4</v>
      </c>
      <c r="E42" s="774"/>
    </row>
    <row r="43" spans="1:7" ht="16.5" customHeight="1" thickBot="1">
      <c r="C43" s="776">
        <v>1883.38</v>
      </c>
      <c r="D43" s="777">
        <f t="shared" si="0"/>
        <v>-7.563234659459267E-3</v>
      </c>
      <c r="E43" s="774"/>
    </row>
    <row r="44" spans="1:7" ht="16.5" customHeight="1" thickBot="1">
      <c r="C44" s="778"/>
      <c r="D44" s="774"/>
      <c r="E44" s="779"/>
    </row>
    <row r="45" spans="1:7" ht="16.5" customHeight="1" thickBot="1">
      <c r="B45" s="780" t="s">
        <v>38</v>
      </c>
      <c r="C45" s="781">
        <f>SUM(C24:C44)</f>
        <v>37954.659999999996</v>
      </c>
      <c r="D45" s="782"/>
      <c r="E45" s="778"/>
    </row>
    <row r="46" spans="1:7" ht="17.25" customHeight="1" thickBot="1">
      <c r="B46" s="780" t="s">
        <v>39</v>
      </c>
      <c r="C46" s="783">
        <f>AVERAGE(C24:C44)</f>
        <v>1897.7329999999997</v>
      </c>
      <c r="E46" s="784"/>
    </row>
    <row r="47" spans="1:7" ht="17.25" customHeight="1" thickBot="1">
      <c r="A47" s="761"/>
      <c r="B47" s="785"/>
      <c r="D47" s="786"/>
      <c r="E47" s="784"/>
    </row>
    <row r="48" spans="1:7" ht="33.75" customHeight="1" thickBot="1">
      <c r="B48" s="787" t="s">
        <v>39</v>
      </c>
      <c r="C48" s="770" t="s">
        <v>40</v>
      </c>
      <c r="D48" s="788"/>
      <c r="G48" s="786"/>
    </row>
    <row r="49" spans="1:6" ht="17.25" customHeight="1" thickBot="1">
      <c r="B49" s="789">
        <f>C46</f>
        <v>1897.7329999999997</v>
      </c>
      <c r="C49" s="790">
        <f>-IF(C46&lt;=80,10%,IF(C46&lt;250,7.5%,5%))</f>
        <v>-0.05</v>
      </c>
      <c r="D49" s="791">
        <f>IF(C46&lt;=80,C46*0.9,IF(C46&lt;250,C46*0.925,C46*0.95))</f>
        <v>1802.8463499999996</v>
      </c>
    </row>
    <row r="50" spans="1:6" ht="17.25" customHeight="1" thickBot="1">
      <c r="B50" s="792"/>
      <c r="C50" s="793">
        <f>IF(C46&lt;=80, 10%, IF(C46&lt;250, 7.5%, 5%))</f>
        <v>0.05</v>
      </c>
      <c r="D50" s="791">
        <f>IF(C46&lt;=80, C46*1.1, IF(C46&lt;250, C46*1.075, C46*1.05))</f>
        <v>1992.6196499999999</v>
      </c>
    </row>
    <row r="51" spans="1:6" ht="16.5" customHeight="1" thickBot="1">
      <c r="A51" s="794"/>
      <c r="B51" s="795"/>
      <c r="C51" s="761"/>
      <c r="D51" s="796"/>
      <c r="E51" s="761"/>
      <c r="F51" s="766"/>
    </row>
    <row r="52" spans="1:6" ht="16.5" customHeight="1">
      <c r="A52" s="761"/>
      <c r="B52" s="797" t="s">
        <v>22</v>
      </c>
      <c r="C52" s="797"/>
      <c r="D52" s="798" t="s">
        <v>23</v>
      </c>
      <c r="E52" s="799"/>
      <c r="F52" s="798" t="s">
        <v>24</v>
      </c>
    </row>
    <row r="53" spans="1:6" ht="34.5" customHeight="1">
      <c r="A53" s="763" t="s">
        <v>25</v>
      </c>
      <c r="B53" s="800"/>
      <c r="C53" s="761"/>
      <c r="D53" s="800"/>
      <c r="E53" s="761"/>
      <c r="F53" s="800"/>
    </row>
    <row r="54" spans="1:6" ht="34.5" customHeight="1">
      <c r="A54" s="763" t="s">
        <v>26</v>
      </c>
      <c r="B54" s="801"/>
      <c r="C54" s="802"/>
      <c r="D54" s="801"/>
      <c r="E54" s="761"/>
      <c r="F54" s="803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E16" sqref="E16"/>
    </sheetView>
  </sheetViews>
  <sheetFormatPr defaultRowHeight="13.5"/>
  <cols>
    <col min="1" max="1" width="27.5703125" style="498" customWidth="1"/>
    <col min="2" max="2" width="20.42578125" style="498" customWidth="1"/>
    <col min="3" max="3" width="31.85546875" style="498" customWidth="1"/>
    <col min="4" max="4" width="25.85546875" style="498" customWidth="1"/>
    <col min="5" max="5" width="25.7109375" style="498" customWidth="1"/>
    <col min="6" max="6" width="23.140625" style="498" customWidth="1"/>
    <col min="7" max="7" width="28.42578125" style="498" customWidth="1"/>
    <col min="8" max="8" width="21.5703125" style="498" customWidth="1"/>
    <col min="9" max="9" width="9.140625" style="498" customWidth="1"/>
    <col min="10" max="16384" width="9.140625" style="536"/>
  </cols>
  <sheetData>
    <row r="1" spans="1:5" ht="18.75" customHeight="1">
      <c r="A1" s="630" t="s">
        <v>0</v>
      </c>
      <c r="B1" s="630"/>
      <c r="C1" s="630"/>
      <c r="D1" s="630"/>
      <c r="E1" s="630"/>
    </row>
    <row r="2" spans="1:5" ht="16.5" customHeight="1">
      <c r="A2" s="499" t="s">
        <v>1</v>
      </c>
      <c r="B2" s="500" t="s">
        <v>2</v>
      </c>
    </row>
    <row r="3" spans="1:5" ht="16.5" customHeight="1">
      <c r="A3" s="501" t="s">
        <v>3</v>
      </c>
      <c r="B3" s="501" t="s">
        <v>121</v>
      </c>
      <c r="D3" s="502"/>
      <c r="E3" s="503"/>
    </row>
    <row r="4" spans="1:5" ht="16.5" customHeight="1">
      <c r="A4" s="504" t="s">
        <v>4</v>
      </c>
      <c r="B4" s="505" t="s">
        <v>133</v>
      </c>
      <c r="C4" s="503"/>
      <c r="D4" s="503"/>
      <c r="E4" s="503"/>
    </row>
    <row r="5" spans="1:5" ht="16.5" customHeight="1">
      <c r="A5" s="504" t="s">
        <v>5</v>
      </c>
      <c r="B5" s="506">
        <v>98.8</v>
      </c>
      <c r="C5" s="503"/>
      <c r="D5" s="503"/>
      <c r="E5" s="503"/>
    </row>
    <row r="6" spans="1:5" ht="16.5" customHeight="1">
      <c r="A6" s="501" t="s">
        <v>6</v>
      </c>
      <c r="B6" s="505">
        <f>'Tenofovir Disoproxil Fumarate'!D43</f>
        <v>14.64</v>
      </c>
      <c r="C6" s="503"/>
      <c r="D6" s="503"/>
      <c r="E6" s="503"/>
    </row>
    <row r="7" spans="1:5" ht="16.5" customHeight="1">
      <c r="A7" s="501" t="s">
        <v>7</v>
      </c>
      <c r="B7" s="507">
        <v>100</v>
      </c>
      <c r="C7" s="503"/>
      <c r="D7" s="503"/>
      <c r="E7" s="503"/>
    </row>
    <row r="8" spans="1:5" ht="15.75" customHeight="1">
      <c r="A8" s="503"/>
      <c r="B8" s="508"/>
      <c r="C8" s="503"/>
      <c r="D8" s="503"/>
      <c r="E8" s="503"/>
    </row>
    <row r="9" spans="1:5" ht="16.5" customHeight="1">
      <c r="A9" s="509" t="s">
        <v>9</v>
      </c>
      <c r="B9" s="510" t="s">
        <v>10</v>
      </c>
      <c r="C9" s="509" t="s">
        <v>11</v>
      </c>
      <c r="D9" s="509" t="s">
        <v>12</v>
      </c>
      <c r="E9" s="509" t="s">
        <v>13</v>
      </c>
    </row>
    <row r="10" spans="1:5" ht="16.5" customHeight="1">
      <c r="A10" s="511">
        <v>1</v>
      </c>
      <c r="B10" s="512">
        <v>8791971</v>
      </c>
      <c r="C10" s="512">
        <v>28123.9</v>
      </c>
      <c r="D10" s="513">
        <v>0.9</v>
      </c>
      <c r="E10" s="514">
        <v>16.600000000000001</v>
      </c>
    </row>
    <row r="11" spans="1:5" ht="16.5" customHeight="1">
      <c r="A11" s="511">
        <v>2</v>
      </c>
      <c r="B11" s="512">
        <v>8668984</v>
      </c>
      <c r="C11" s="512">
        <v>28359.8</v>
      </c>
      <c r="D11" s="513">
        <v>0.9</v>
      </c>
      <c r="E11" s="513">
        <v>16.600000000000001</v>
      </c>
    </row>
    <row r="12" spans="1:5" ht="16.5" customHeight="1">
      <c r="A12" s="511">
        <v>3</v>
      </c>
      <c r="B12" s="512">
        <v>8547769</v>
      </c>
      <c r="C12" s="512">
        <v>28002.5</v>
      </c>
      <c r="D12" s="513">
        <v>0.9</v>
      </c>
      <c r="E12" s="513">
        <v>16.600000000000001</v>
      </c>
    </row>
    <row r="13" spans="1:5" ht="16.5" customHeight="1">
      <c r="A13" s="511">
        <v>4</v>
      </c>
      <c r="B13" s="512">
        <v>8790288</v>
      </c>
      <c r="C13" s="512">
        <v>28327.7</v>
      </c>
      <c r="D13" s="513">
        <v>0.9</v>
      </c>
      <c r="E13" s="513">
        <v>16.600000000000001</v>
      </c>
    </row>
    <row r="14" spans="1:5" ht="16.5" customHeight="1">
      <c r="A14" s="511">
        <v>5</v>
      </c>
      <c r="B14" s="512">
        <v>8663103</v>
      </c>
      <c r="C14" s="512">
        <v>27356.400000000001</v>
      </c>
      <c r="D14" s="513">
        <v>0.9</v>
      </c>
      <c r="E14" s="513">
        <v>16.600000000000001</v>
      </c>
    </row>
    <row r="15" spans="1:5" ht="16.5" customHeight="1">
      <c r="A15" s="511">
        <v>6</v>
      </c>
      <c r="B15" s="515">
        <v>8473319</v>
      </c>
      <c r="C15" s="515">
        <v>27067.7</v>
      </c>
      <c r="D15" s="516">
        <v>0.9</v>
      </c>
      <c r="E15" s="516">
        <v>16.600000000000001</v>
      </c>
    </row>
    <row r="16" spans="1:5" ht="16.5" customHeight="1">
      <c r="A16" s="517" t="s">
        <v>14</v>
      </c>
      <c r="B16" s="518">
        <f>AVERAGE(B10:B15)</f>
        <v>8655905.666666666</v>
      </c>
      <c r="C16" s="519">
        <f>AVERAGE(C10:C15)</f>
        <v>27873</v>
      </c>
      <c r="D16" s="520">
        <f>AVERAGE(D10:D15)</f>
        <v>0.9</v>
      </c>
      <c r="E16" s="520">
        <f>AVERAGE(E10:E15)</f>
        <v>16.599999999999998</v>
      </c>
    </row>
    <row r="17" spans="1:5" ht="16.5" customHeight="1">
      <c r="A17" s="521" t="s">
        <v>15</v>
      </c>
      <c r="B17" s="522">
        <f>(STDEV(B10:B15)/B16)</f>
        <v>1.4779164949824841E-2</v>
      </c>
      <c r="C17" s="523"/>
      <c r="D17" s="523"/>
      <c r="E17" s="524"/>
    </row>
    <row r="18" spans="1:5" s="498" customFormat="1" ht="16.5" customHeight="1">
      <c r="A18" s="525" t="s">
        <v>16</v>
      </c>
      <c r="B18" s="526">
        <f>COUNT(B10:B15)</f>
        <v>6</v>
      </c>
      <c r="C18" s="527"/>
      <c r="D18" s="528"/>
      <c r="E18" s="529"/>
    </row>
    <row r="19" spans="1:5" s="498" customFormat="1" ht="15.75" customHeight="1">
      <c r="A19" s="503"/>
      <c r="B19" s="503"/>
      <c r="C19" s="503"/>
      <c r="D19" s="503"/>
      <c r="E19" s="503"/>
    </row>
    <row r="20" spans="1:5" s="498" customFormat="1" ht="16.5" customHeight="1">
      <c r="A20" s="504" t="s">
        <v>17</v>
      </c>
      <c r="B20" s="530" t="s">
        <v>18</v>
      </c>
      <c r="C20" s="531"/>
      <c r="D20" s="531"/>
      <c r="E20" s="531"/>
    </row>
    <row r="21" spans="1:5" ht="16.5" customHeight="1">
      <c r="A21" s="504"/>
      <c r="B21" s="530" t="s">
        <v>19</v>
      </c>
      <c r="C21" s="531"/>
      <c r="D21" s="531"/>
      <c r="E21" s="531"/>
    </row>
    <row r="22" spans="1:5" ht="16.5" customHeight="1">
      <c r="A22" s="504"/>
      <c r="B22" s="530" t="s">
        <v>20</v>
      </c>
      <c r="C22" s="531"/>
      <c r="D22" s="531"/>
      <c r="E22" s="531"/>
    </row>
    <row r="23" spans="1:5" ht="15.75" customHeight="1">
      <c r="A23" s="503"/>
      <c r="B23" s="503"/>
      <c r="C23" s="503"/>
      <c r="D23" s="503"/>
      <c r="E23" s="503"/>
    </row>
    <row r="24" spans="1:5" ht="16.5" customHeight="1">
      <c r="A24" s="499" t="s">
        <v>1</v>
      </c>
      <c r="B24" s="500" t="s">
        <v>21</v>
      </c>
    </row>
    <row r="25" spans="1:5" ht="16.5" customHeight="1">
      <c r="A25" s="504" t="s">
        <v>4</v>
      </c>
      <c r="B25" s="532" t="str">
        <f>B4</f>
        <v>Tenofovir DF</v>
      </c>
      <c r="C25" s="503"/>
      <c r="D25" s="503"/>
      <c r="E25" s="503"/>
    </row>
    <row r="26" spans="1:5" ht="16.5" customHeight="1">
      <c r="A26" s="504" t="s">
        <v>5</v>
      </c>
      <c r="B26" s="505">
        <v>98.8</v>
      </c>
      <c r="C26" s="503"/>
      <c r="D26" s="503"/>
      <c r="E26" s="503"/>
    </row>
    <row r="27" spans="1:5" ht="16.5" customHeight="1">
      <c r="A27" s="501" t="s">
        <v>6</v>
      </c>
      <c r="B27" s="505">
        <f>'Tenofovir Disoproxil Fumarate'!D96</f>
        <v>14.37</v>
      </c>
      <c r="C27" s="503"/>
      <c r="D27" s="503"/>
      <c r="E27" s="503"/>
    </row>
    <row r="28" spans="1:5" ht="16.5" customHeight="1">
      <c r="A28" s="501" t="s">
        <v>7</v>
      </c>
      <c r="B28" s="507">
        <v>100</v>
      </c>
      <c r="C28" s="503"/>
      <c r="D28" s="503"/>
      <c r="E28" s="503"/>
    </row>
    <row r="29" spans="1:5" ht="15.75" customHeight="1">
      <c r="A29" s="503"/>
      <c r="B29" s="503"/>
      <c r="C29" s="503"/>
      <c r="D29" s="503"/>
      <c r="E29" s="503"/>
    </row>
    <row r="30" spans="1:5" ht="16.5" customHeight="1">
      <c r="A30" s="509" t="s">
        <v>9</v>
      </c>
      <c r="B30" s="510" t="s">
        <v>10</v>
      </c>
      <c r="C30" s="509" t="s">
        <v>11</v>
      </c>
      <c r="D30" s="509" t="s">
        <v>12</v>
      </c>
      <c r="E30" s="509" t="s">
        <v>13</v>
      </c>
    </row>
    <row r="31" spans="1:5" ht="16.5" customHeight="1">
      <c r="A31" s="511">
        <v>1</v>
      </c>
      <c r="B31" s="512">
        <v>70309229</v>
      </c>
      <c r="C31" s="512">
        <v>101747.3</v>
      </c>
      <c r="D31" s="513">
        <v>1.2</v>
      </c>
      <c r="E31" s="514">
        <v>17.03</v>
      </c>
    </row>
    <row r="32" spans="1:5" ht="16.5" customHeight="1">
      <c r="A32" s="511">
        <v>2</v>
      </c>
      <c r="B32" s="512">
        <v>70157702</v>
      </c>
      <c r="C32" s="512">
        <v>103160</v>
      </c>
      <c r="D32" s="513">
        <v>1.2</v>
      </c>
      <c r="E32" s="513">
        <v>17.04</v>
      </c>
    </row>
    <row r="33" spans="1:7" ht="16.5" customHeight="1">
      <c r="A33" s="511">
        <v>3</v>
      </c>
      <c r="B33" s="512">
        <v>69877450</v>
      </c>
      <c r="C33" s="512">
        <v>98949.5</v>
      </c>
      <c r="D33" s="513">
        <v>1.2</v>
      </c>
      <c r="E33" s="513">
        <v>17.04</v>
      </c>
    </row>
    <row r="34" spans="1:7" ht="16.5" customHeight="1">
      <c r="A34" s="511">
        <v>4</v>
      </c>
      <c r="B34" s="512">
        <v>70180573</v>
      </c>
      <c r="C34" s="512">
        <v>99129.1</v>
      </c>
      <c r="D34" s="513">
        <v>1.2</v>
      </c>
      <c r="E34" s="513">
        <v>17.04</v>
      </c>
    </row>
    <row r="35" spans="1:7" ht="16.5" customHeight="1">
      <c r="A35" s="511">
        <v>5</v>
      </c>
      <c r="B35" s="512">
        <v>70297651</v>
      </c>
      <c r="C35" s="512">
        <v>100492.5</v>
      </c>
      <c r="D35" s="513">
        <v>1.2</v>
      </c>
      <c r="E35" s="513">
        <v>17.04</v>
      </c>
    </row>
    <row r="36" spans="1:7" ht="16.5" customHeight="1">
      <c r="A36" s="511">
        <v>6</v>
      </c>
      <c r="B36" s="515">
        <v>70246833</v>
      </c>
      <c r="C36" s="515">
        <v>101960.9</v>
      </c>
      <c r="D36" s="516">
        <v>1.2</v>
      </c>
      <c r="E36" s="516">
        <v>17.03</v>
      </c>
    </row>
    <row r="37" spans="1:7" ht="16.5" customHeight="1">
      <c r="A37" s="517" t="s">
        <v>14</v>
      </c>
      <c r="B37" s="518">
        <f>AVERAGE(B31:B36)</f>
        <v>70178239.666666672</v>
      </c>
      <c r="C37" s="519">
        <f>AVERAGE(C31:C36)</f>
        <v>100906.55</v>
      </c>
      <c r="D37" s="520">
        <f>AVERAGE(D31:D36)</f>
        <v>1.2</v>
      </c>
      <c r="E37" s="520">
        <f>AVERAGE(E31:E36)</f>
        <v>17.036666666666665</v>
      </c>
    </row>
    <row r="38" spans="1:7" ht="16.5" customHeight="1">
      <c r="A38" s="521" t="s">
        <v>15</v>
      </c>
      <c r="B38" s="522">
        <f>(STDEV(B31:B36)/B37)</f>
        <v>2.2712000421335255E-3</v>
      </c>
      <c r="C38" s="523"/>
      <c r="D38" s="523"/>
      <c r="E38" s="524"/>
    </row>
    <row r="39" spans="1:7" s="498" customFormat="1" ht="16.5" customHeight="1">
      <c r="A39" s="525" t="s">
        <v>16</v>
      </c>
      <c r="B39" s="526">
        <f>COUNT(B31:B36)</f>
        <v>6</v>
      </c>
      <c r="C39" s="527"/>
      <c r="D39" s="528"/>
      <c r="E39" s="529"/>
    </row>
    <row r="40" spans="1:7" s="498" customFormat="1" ht="15.75" customHeight="1">
      <c r="A40" s="503"/>
      <c r="B40" s="503"/>
      <c r="C40" s="503"/>
      <c r="D40" s="503"/>
      <c r="E40" s="503"/>
    </row>
    <row r="41" spans="1:7" s="498" customFormat="1" ht="16.5" customHeight="1">
      <c r="A41" s="504" t="s">
        <v>17</v>
      </c>
      <c r="B41" s="530" t="s">
        <v>18</v>
      </c>
      <c r="C41" s="531"/>
      <c r="D41" s="531"/>
      <c r="E41" s="531"/>
    </row>
    <row r="42" spans="1:7" ht="16.5" customHeight="1">
      <c r="A42" s="504"/>
      <c r="B42" s="530" t="s">
        <v>19</v>
      </c>
      <c r="C42" s="531"/>
      <c r="D42" s="531"/>
      <c r="E42" s="531"/>
    </row>
    <row r="43" spans="1:7" ht="16.5" customHeight="1">
      <c r="A43" s="504"/>
      <c r="B43" s="530" t="s">
        <v>20</v>
      </c>
      <c r="C43" s="531"/>
      <c r="D43" s="531"/>
      <c r="E43" s="531"/>
    </row>
    <row r="44" spans="1:7" ht="14.25" customHeight="1" thickBot="1">
      <c r="A44" s="533"/>
      <c r="B44" s="534"/>
      <c r="D44" s="535"/>
      <c r="F44" s="536"/>
      <c r="G44" s="536"/>
    </row>
    <row r="45" spans="1:7" ht="15" customHeight="1">
      <c r="B45" s="631" t="s">
        <v>22</v>
      </c>
      <c r="C45" s="631"/>
      <c r="E45" s="537" t="s">
        <v>23</v>
      </c>
      <c r="F45" s="538"/>
      <c r="G45" s="537" t="s">
        <v>24</v>
      </c>
    </row>
    <row r="46" spans="1:7" ht="15" customHeight="1">
      <c r="A46" s="539" t="s">
        <v>25</v>
      </c>
      <c r="B46" s="540"/>
      <c r="C46" s="540"/>
      <c r="E46" s="540"/>
      <c r="G46" s="540"/>
    </row>
    <row r="47" spans="1:7" ht="15" customHeight="1">
      <c r="A47" s="539" t="s">
        <v>26</v>
      </c>
      <c r="B47" s="541"/>
      <c r="C47" s="541"/>
      <c r="E47" s="541"/>
      <c r="G47" s="5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45" zoomScale="50" zoomScaleNormal="60" zoomScaleSheetLayoutView="50" zoomScalePageLayoutView="43" workbookViewId="0">
      <selection activeCell="D72" sqref="D7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>
      <c r="A1" s="662" t="s">
        <v>41</v>
      </c>
      <c r="B1" s="662"/>
      <c r="C1" s="662"/>
      <c r="D1" s="662"/>
      <c r="E1" s="662"/>
      <c r="F1" s="662"/>
      <c r="G1" s="662"/>
      <c r="H1" s="662"/>
      <c r="I1" s="662"/>
    </row>
    <row r="2" spans="1:9" ht="18.75" customHeight="1">
      <c r="A2" s="662"/>
      <c r="B2" s="662"/>
      <c r="C2" s="662"/>
      <c r="D2" s="662"/>
      <c r="E2" s="662"/>
      <c r="F2" s="662"/>
      <c r="G2" s="662"/>
      <c r="H2" s="662"/>
      <c r="I2" s="662"/>
    </row>
    <row r="3" spans="1:9" ht="18.75" customHeight="1">
      <c r="A3" s="662"/>
      <c r="B3" s="662"/>
      <c r="C3" s="662"/>
      <c r="D3" s="662"/>
      <c r="E3" s="662"/>
      <c r="F3" s="662"/>
      <c r="G3" s="662"/>
      <c r="H3" s="662"/>
      <c r="I3" s="662"/>
    </row>
    <row r="4" spans="1:9" ht="18.75" customHeight="1">
      <c r="A4" s="662"/>
      <c r="B4" s="662"/>
      <c r="C4" s="662"/>
      <c r="D4" s="662"/>
      <c r="E4" s="662"/>
      <c r="F4" s="662"/>
      <c r="G4" s="662"/>
      <c r="H4" s="662"/>
      <c r="I4" s="662"/>
    </row>
    <row r="5" spans="1:9" ht="18.75" customHeight="1">
      <c r="A5" s="662"/>
      <c r="B5" s="662"/>
      <c r="C5" s="662"/>
      <c r="D5" s="662"/>
      <c r="E5" s="662"/>
      <c r="F5" s="662"/>
      <c r="G5" s="662"/>
      <c r="H5" s="662"/>
      <c r="I5" s="662"/>
    </row>
    <row r="6" spans="1:9" ht="18.75" customHeight="1">
      <c r="A6" s="662"/>
      <c r="B6" s="662"/>
      <c r="C6" s="662"/>
      <c r="D6" s="662"/>
      <c r="E6" s="662"/>
      <c r="F6" s="662"/>
      <c r="G6" s="662"/>
      <c r="H6" s="662"/>
      <c r="I6" s="662"/>
    </row>
    <row r="7" spans="1:9" ht="18.75" customHeight="1">
      <c r="A7" s="662"/>
      <c r="B7" s="662"/>
      <c r="C7" s="662"/>
      <c r="D7" s="662"/>
      <c r="E7" s="662"/>
      <c r="F7" s="662"/>
      <c r="G7" s="662"/>
      <c r="H7" s="662"/>
      <c r="I7" s="662"/>
    </row>
    <row r="8" spans="1:9">
      <c r="A8" s="663" t="s">
        <v>42</v>
      </c>
      <c r="B8" s="663"/>
      <c r="C8" s="663"/>
      <c r="D8" s="663"/>
      <c r="E8" s="663"/>
      <c r="F8" s="663"/>
      <c r="G8" s="663"/>
      <c r="H8" s="663"/>
      <c r="I8" s="663"/>
    </row>
    <row r="9" spans="1:9">
      <c r="A9" s="663"/>
      <c r="B9" s="663"/>
      <c r="C9" s="663"/>
      <c r="D9" s="663"/>
      <c r="E9" s="663"/>
      <c r="F9" s="663"/>
      <c r="G9" s="663"/>
      <c r="H9" s="663"/>
      <c r="I9" s="663"/>
    </row>
    <row r="10" spans="1:9">
      <c r="A10" s="663"/>
      <c r="B10" s="663"/>
      <c r="C10" s="663"/>
      <c r="D10" s="663"/>
      <c r="E10" s="663"/>
      <c r="F10" s="663"/>
      <c r="G10" s="663"/>
      <c r="H10" s="663"/>
      <c r="I10" s="663"/>
    </row>
    <row r="11" spans="1:9">
      <c r="A11" s="663"/>
      <c r="B11" s="663"/>
      <c r="C11" s="663"/>
      <c r="D11" s="663"/>
      <c r="E11" s="663"/>
      <c r="F11" s="663"/>
      <c r="G11" s="663"/>
      <c r="H11" s="663"/>
      <c r="I11" s="663"/>
    </row>
    <row r="12" spans="1:9">
      <c r="A12" s="663"/>
      <c r="B12" s="663"/>
      <c r="C12" s="663"/>
      <c r="D12" s="663"/>
      <c r="E12" s="663"/>
      <c r="F12" s="663"/>
      <c r="G12" s="663"/>
      <c r="H12" s="663"/>
      <c r="I12" s="663"/>
    </row>
    <row r="13" spans="1:9">
      <c r="A13" s="663"/>
      <c r="B13" s="663"/>
      <c r="C13" s="663"/>
      <c r="D13" s="663"/>
      <c r="E13" s="663"/>
      <c r="F13" s="663"/>
      <c r="G13" s="663"/>
      <c r="H13" s="663"/>
      <c r="I13" s="663"/>
    </row>
    <row r="14" spans="1:9">
      <c r="A14" s="663"/>
      <c r="B14" s="663"/>
      <c r="C14" s="663"/>
      <c r="D14" s="663"/>
      <c r="E14" s="663"/>
      <c r="F14" s="663"/>
      <c r="G14" s="663"/>
      <c r="H14" s="663"/>
      <c r="I14" s="663"/>
    </row>
    <row r="15" spans="1:9" ht="19.5" customHeight="1" thickBot="1">
      <c r="A15" s="5"/>
    </row>
    <row r="16" spans="1:9" ht="19.5" customHeight="1" thickBot="1">
      <c r="A16" s="664" t="s">
        <v>27</v>
      </c>
      <c r="B16" s="665"/>
      <c r="C16" s="665"/>
      <c r="D16" s="665"/>
      <c r="E16" s="665"/>
      <c r="F16" s="665"/>
      <c r="G16" s="665"/>
      <c r="H16" s="666"/>
    </row>
    <row r="17" spans="1:14" ht="20.25" customHeight="1">
      <c r="A17" s="667" t="s">
        <v>43</v>
      </c>
      <c r="B17" s="667"/>
      <c r="C17" s="667"/>
      <c r="D17" s="667"/>
      <c r="E17" s="667"/>
      <c r="F17" s="667"/>
      <c r="G17" s="667"/>
      <c r="H17" s="667"/>
    </row>
    <row r="18" spans="1:14" ht="26.25" customHeight="1">
      <c r="A18" s="6" t="s">
        <v>29</v>
      </c>
      <c r="B18" s="668" t="s">
        <v>121</v>
      </c>
      <c r="C18" s="668"/>
      <c r="D18" s="7"/>
      <c r="E18" s="8"/>
      <c r="F18" s="9"/>
      <c r="G18" s="9"/>
      <c r="H18" s="9"/>
    </row>
    <row r="19" spans="1:14" ht="26.25" customHeight="1">
      <c r="A19" s="6" t="s">
        <v>30</v>
      </c>
      <c r="B19" s="629" t="s">
        <v>134</v>
      </c>
      <c r="C19" s="9">
        <v>29</v>
      </c>
      <c r="D19" s="9"/>
      <c r="E19" s="9"/>
      <c r="F19" s="9"/>
      <c r="G19" s="9"/>
      <c r="H19" s="9"/>
    </row>
    <row r="20" spans="1:14" ht="26.25" customHeight="1">
      <c r="A20" s="6" t="s">
        <v>31</v>
      </c>
      <c r="B20" s="669" t="s">
        <v>122</v>
      </c>
      <c r="C20" s="669"/>
      <c r="D20" s="9"/>
      <c r="E20" s="9"/>
      <c r="F20" s="9"/>
      <c r="G20" s="9"/>
      <c r="H20" s="9"/>
    </row>
    <row r="21" spans="1:14" ht="26.25" customHeight="1">
      <c r="A21" s="6" t="s">
        <v>32</v>
      </c>
      <c r="B21" s="669" t="s">
        <v>8</v>
      </c>
      <c r="C21" s="669"/>
      <c r="D21" s="669"/>
      <c r="E21" s="669"/>
      <c r="F21" s="669"/>
      <c r="G21" s="669"/>
      <c r="H21" s="669"/>
      <c r="I21" s="10"/>
    </row>
    <row r="22" spans="1:14" ht="26.25" customHeight="1">
      <c r="A22" s="6" t="s">
        <v>33</v>
      </c>
      <c r="B22" s="11">
        <v>42618</v>
      </c>
      <c r="C22" s="9"/>
      <c r="D22" s="9"/>
      <c r="E22" s="9"/>
      <c r="F22" s="9"/>
      <c r="G22" s="9"/>
      <c r="H22" s="9"/>
    </row>
    <row r="23" spans="1:14" ht="26.25" customHeight="1">
      <c r="A23" s="6" t="s">
        <v>34</v>
      </c>
      <c r="B23" s="11">
        <v>42643</v>
      </c>
      <c r="C23" s="9"/>
      <c r="D23" s="9"/>
      <c r="E23" s="9"/>
      <c r="F23" s="9"/>
      <c r="G23" s="9"/>
      <c r="H23" s="9"/>
    </row>
    <row r="24" spans="1:14" ht="18.75">
      <c r="A24" s="6"/>
      <c r="B24" s="12"/>
    </row>
    <row r="25" spans="1:14" ht="18.75">
      <c r="A25" s="13" t="s">
        <v>1</v>
      </c>
      <c r="B25" s="12"/>
    </row>
    <row r="26" spans="1:14" ht="26.25" customHeight="1">
      <c r="A26" s="14" t="s">
        <v>4</v>
      </c>
      <c r="B26" s="668" t="s">
        <v>123</v>
      </c>
      <c r="C26" s="668"/>
    </row>
    <row r="27" spans="1:14" ht="26.25" customHeight="1">
      <c r="A27" s="15" t="s">
        <v>44</v>
      </c>
      <c r="B27" s="670" t="s">
        <v>124</v>
      </c>
      <c r="C27" s="670"/>
    </row>
    <row r="28" spans="1:14" ht="27" customHeight="1" thickBot="1">
      <c r="A28" s="15" t="s">
        <v>5</v>
      </c>
      <c r="B28" s="16">
        <v>98.8</v>
      </c>
    </row>
    <row r="29" spans="1:14" s="3" customFormat="1" ht="27" customHeight="1" thickBot="1">
      <c r="A29" s="15" t="s">
        <v>45</v>
      </c>
      <c r="B29" s="17">
        <v>0</v>
      </c>
      <c r="C29" s="651" t="s">
        <v>46</v>
      </c>
      <c r="D29" s="652"/>
      <c r="E29" s="652"/>
      <c r="F29" s="652"/>
      <c r="G29" s="653"/>
      <c r="I29" s="18"/>
      <c r="J29" s="18"/>
      <c r="K29" s="18"/>
      <c r="L29" s="18"/>
    </row>
    <row r="30" spans="1:14" s="3" customFormat="1" ht="19.5" customHeight="1" thickBot="1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>
      <c r="A31" s="15" t="s">
        <v>48</v>
      </c>
      <c r="B31" s="22">
        <v>1</v>
      </c>
      <c r="C31" s="654" t="s">
        <v>49</v>
      </c>
      <c r="D31" s="655"/>
      <c r="E31" s="655"/>
      <c r="F31" s="655"/>
      <c r="G31" s="655"/>
      <c r="H31" s="656"/>
      <c r="I31" s="18"/>
      <c r="J31" s="18"/>
      <c r="K31" s="18"/>
      <c r="L31" s="18"/>
    </row>
    <row r="32" spans="1:14" s="3" customFormat="1" ht="27" customHeight="1" thickBot="1">
      <c r="A32" s="15" t="s">
        <v>50</v>
      </c>
      <c r="B32" s="22">
        <v>1</v>
      </c>
      <c r="C32" s="654" t="s">
        <v>51</v>
      </c>
      <c r="D32" s="655"/>
      <c r="E32" s="655"/>
      <c r="F32" s="655"/>
      <c r="G32" s="655"/>
      <c r="H32" s="656"/>
      <c r="I32" s="18"/>
      <c r="J32" s="18"/>
      <c r="K32" s="18"/>
      <c r="L32" s="23"/>
      <c r="M32" s="23"/>
      <c r="N32" s="24"/>
    </row>
    <row r="33" spans="1:14" s="3" customFormat="1" ht="17.25" customHeight="1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>
      <c r="A36" s="28" t="s">
        <v>54</v>
      </c>
      <c r="B36" s="29">
        <v>50</v>
      </c>
      <c r="C36" s="5"/>
      <c r="D36" s="641" t="s">
        <v>55</v>
      </c>
      <c r="E36" s="661"/>
      <c r="F36" s="641" t="s">
        <v>56</v>
      </c>
      <c r="G36" s="642"/>
      <c r="J36" s="18"/>
      <c r="K36" s="18"/>
      <c r="L36" s="23"/>
      <c r="M36" s="23"/>
      <c r="N36" s="24"/>
    </row>
    <row r="37" spans="1:14" s="3" customFormat="1" ht="27" customHeight="1" thickBot="1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>
      <c r="A38" s="30" t="s">
        <v>62</v>
      </c>
      <c r="B38" s="31">
        <v>25</v>
      </c>
      <c r="C38" s="37">
        <v>1</v>
      </c>
      <c r="D38" s="38">
        <v>8790288</v>
      </c>
      <c r="E38" s="39">
        <f>IF(ISBLANK(D38),"-",$D$48/$D$45*D38)</f>
        <v>9115832.6143226922</v>
      </c>
      <c r="F38" s="38">
        <v>9789993</v>
      </c>
      <c r="G38" s="40">
        <f>IF(ISBLANK(F38),"-",$D$48/$F$45*F38)</f>
        <v>9180574.241109496</v>
      </c>
      <c r="I38" s="41"/>
      <c r="J38" s="18"/>
      <c r="K38" s="18"/>
      <c r="L38" s="23"/>
      <c r="M38" s="23"/>
      <c r="N38" s="24"/>
    </row>
    <row r="39" spans="1:14" s="3" customFormat="1" ht="26.25" customHeight="1">
      <c r="A39" s="30" t="s">
        <v>63</v>
      </c>
      <c r="B39" s="31">
        <v>1</v>
      </c>
      <c r="C39" s="42">
        <v>2</v>
      </c>
      <c r="D39" s="43">
        <v>8663103</v>
      </c>
      <c r="E39" s="44">
        <f>IF(ISBLANK(D39),"-",$D$48/$D$45*D39)</f>
        <v>8983937.3714077119</v>
      </c>
      <c r="F39" s="43">
        <v>9632785</v>
      </c>
      <c r="G39" s="45">
        <f>IF(ISBLANK(F39),"-",$D$48/$F$45*F39)</f>
        <v>9033152.3057417851</v>
      </c>
      <c r="I39" s="632">
        <f>ABS((F43/D43*D42)-F42)/D42</f>
        <v>9.0357892787540917E-3</v>
      </c>
      <c r="J39" s="18"/>
      <c r="K39" s="18"/>
      <c r="L39" s="23"/>
      <c r="M39" s="23"/>
      <c r="N39" s="24"/>
    </row>
    <row r="40" spans="1:14" ht="26.25" customHeight="1">
      <c r="A40" s="30" t="s">
        <v>64</v>
      </c>
      <c r="B40" s="31">
        <v>1</v>
      </c>
      <c r="C40" s="42">
        <v>3</v>
      </c>
      <c r="D40" s="43">
        <v>8473319</v>
      </c>
      <c r="E40" s="44">
        <f>IF(ISBLANK(D40),"-",$D$48/$D$45*D40)</f>
        <v>8787124.8008893616</v>
      </c>
      <c r="F40" s="43">
        <v>9483173</v>
      </c>
      <c r="G40" s="45">
        <f>IF(ISBLANK(F40),"-",$D$48/$F$45*F40)</f>
        <v>8892853.5258181561</v>
      </c>
      <c r="I40" s="632"/>
      <c r="L40" s="23"/>
      <c r="M40" s="23"/>
      <c r="N40" s="5"/>
    </row>
    <row r="41" spans="1:14" ht="27" customHeight="1" thickBot="1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>
      <c r="A42" s="30" t="s">
        <v>66</v>
      </c>
      <c r="B42" s="31">
        <v>1</v>
      </c>
      <c r="C42" s="51" t="s">
        <v>67</v>
      </c>
      <c r="D42" s="52">
        <f>AVERAGE(D38:D41)</f>
        <v>8642236.666666666</v>
      </c>
      <c r="E42" s="53">
        <f>AVERAGE(E38:E41)</f>
        <v>8962298.2622065879</v>
      </c>
      <c r="F42" s="52">
        <f>AVERAGE(F38:F41)</f>
        <v>9635317</v>
      </c>
      <c r="G42" s="54">
        <f>AVERAGE(G38:G41)</f>
        <v>9035526.690889813</v>
      </c>
      <c r="H42" s="4"/>
    </row>
    <row r="43" spans="1:14" ht="26.25" customHeight="1">
      <c r="A43" s="30" t="s">
        <v>68</v>
      </c>
      <c r="B43" s="31">
        <v>1</v>
      </c>
      <c r="C43" s="55" t="s">
        <v>69</v>
      </c>
      <c r="D43" s="56">
        <v>14.64</v>
      </c>
      <c r="E43" s="5"/>
      <c r="F43" s="56">
        <v>16.190000000000001</v>
      </c>
      <c r="H43" s="4"/>
    </row>
    <row r="44" spans="1:14" ht="26.25" customHeight="1">
      <c r="A44" s="30" t="s">
        <v>70</v>
      </c>
      <c r="B44" s="31">
        <v>1</v>
      </c>
      <c r="C44" s="57" t="s">
        <v>71</v>
      </c>
      <c r="D44" s="58">
        <f>D43*$B$34</f>
        <v>14.64</v>
      </c>
      <c r="E44" s="59"/>
      <c r="F44" s="58">
        <f>F43*$B$34</f>
        <v>16.190000000000001</v>
      </c>
      <c r="H44" s="4"/>
    </row>
    <row r="45" spans="1:14" ht="19.5" customHeight="1" thickBot="1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14.464320000000001</v>
      </c>
      <c r="E45" s="61"/>
      <c r="F45" s="60">
        <f>F44*$B$30/100</f>
        <v>15.99572</v>
      </c>
      <c r="H45" s="4"/>
    </row>
    <row r="46" spans="1:14" ht="19.5" customHeight="1" thickBot="1">
      <c r="A46" s="633" t="s">
        <v>74</v>
      </c>
      <c r="B46" s="637"/>
      <c r="C46" s="57" t="s">
        <v>75</v>
      </c>
      <c r="D46" s="62">
        <f>D45/$B$45</f>
        <v>0.11571456000000001</v>
      </c>
      <c r="E46" s="63"/>
      <c r="F46" s="64">
        <f>F45/$B$45</f>
        <v>0.12796576000000001</v>
      </c>
      <c r="H46" s="4"/>
    </row>
    <row r="47" spans="1:14" ht="27" customHeight="1" thickBot="1">
      <c r="A47" s="635"/>
      <c r="B47" s="638"/>
      <c r="C47" s="65" t="s">
        <v>76</v>
      </c>
      <c r="D47" s="66">
        <v>0.12</v>
      </c>
      <c r="E47" s="67"/>
      <c r="F47" s="63"/>
      <c r="H47" s="4"/>
    </row>
    <row r="48" spans="1:14" ht="18.75">
      <c r="C48" s="68" t="s">
        <v>77</v>
      </c>
      <c r="D48" s="60">
        <f>D47*$B$45</f>
        <v>15</v>
      </c>
      <c r="F48" s="69"/>
      <c r="H48" s="4"/>
    </row>
    <row r="49" spans="1:12" ht="19.5" customHeight="1" thickBot="1">
      <c r="C49" s="70" t="s">
        <v>78</v>
      </c>
      <c r="D49" s="71">
        <f>D48/B34</f>
        <v>15</v>
      </c>
      <c r="F49" s="69"/>
      <c r="H49" s="4"/>
    </row>
    <row r="50" spans="1:12" ht="18.75">
      <c r="C50" s="28" t="s">
        <v>79</v>
      </c>
      <c r="D50" s="72">
        <f>AVERAGE(E38:E41,G38:G41)</f>
        <v>8998912.4765482005</v>
      </c>
      <c r="F50" s="73"/>
      <c r="H50" s="4"/>
    </row>
    <row r="51" spans="1:12" ht="18.75">
      <c r="C51" s="30" t="s">
        <v>80</v>
      </c>
      <c r="D51" s="74">
        <f>STDEV(E38:E41,G38:G41)/D50</f>
        <v>1.6039737322922295E-2</v>
      </c>
      <c r="F51" s="73"/>
      <c r="H51" s="4"/>
    </row>
    <row r="52" spans="1:12" ht="19.5" customHeight="1" thickBot="1">
      <c r="C52" s="75" t="s">
        <v>16</v>
      </c>
      <c r="D52" s="76">
        <f>COUNT(E38:E41,G38:G41)</f>
        <v>6</v>
      </c>
      <c r="F52" s="73"/>
    </row>
    <row r="54" spans="1:12" ht="18.75">
      <c r="A54" s="77" t="s">
        <v>1</v>
      </c>
      <c r="B54" s="78" t="s">
        <v>81</v>
      </c>
    </row>
    <row r="55" spans="1:12" ht="18.75">
      <c r="A55" s="5" t="s">
        <v>82</v>
      </c>
      <c r="B55" s="79" t="str">
        <f>B21</f>
        <v>Tenofovir Disoproxil Fumarate 300mg, Lamivudine 300mg, Efavirenz 600mg</v>
      </c>
    </row>
    <row r="56" spans="1:12" ht="26.25" customHeight="1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>
      <c r="A57" s="79" t="s">
        <v>84</v>
      </c>
      <c r="B57" s="81">
        <f>Uniformity!C46</f>
        <v>1897.7329999999997</v>
      </c>
      <c r="H57" s="59"/>
    </row>
    <row r="58" spans="1:12" ht="19.5" customHeight="1" thickBot="1">
      <c r="H58" s="59"/>
    </row>
    <row r="59" spans="1:12" s="3" customFormat="1" ht="27" customHeight="1" thickBot="1">
      <c r="A59" s="28" t="s">
        <v>85</v>
      </c>
      <c r="B59" s="29">
        <v>100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>
      <c r="A60" s="30" t="s">
        <v>89</v>
      </c>
      <c r="B60" s="31">
        <v>4</v>
      </c>
      <c r="C60" s="643" t="s">
        <v>90</v>
      </c>
      <c r="D60" s="646">
        <v>949.55</v>
      </c>
      <c r="E60" s="84">
        <v>1</v>
      </c>
      <c r="F60" s="85">
        <v>9114456</v>
      </c>
      <c r="G60" s="86">
        <f>IF(ISBLANK(F60),"-",(F60/$D$50*$D$47*$B$68)*($B$57/$D$60))</f>
        <v>303.63319917119804</v>
      </c>
      <c r="H60" s="87">
        <f t="shared" ref="H60:H71" si="0">IF(ISBLANK(F60),"-",G60/$B$56)</f>
        <v>1.0121106639039934</v>
      </c>
      <c r="L60" s="18"/>
    </row>
    <row r="61" spans="1:12" s="3" customFormat="1" ht="26.25" customHeight="1">
      <c r="A61" s="30" t="s">
        <v>91</v>
      </c>
      <c r="B61" s="31">
        <v>50</v>
      </c>
      <c r="C61" s="644"/>
      <c r="D61" s="647"/>
      <c r="E61" s="88">
        <v>2</v>
      </c>
      <c r="F61" s="43">
        <v>9000566</v>
      </c>
      <c r="G61" s="89">
        <f>IF(ISBLANK(F61),"-",(F61/$D$50*$D$47*$B$68)*($B$57/$D$60))</f>
        <v>299.839140035512</v>
      </c>
      <c r="H61" s="90">
        <f t="shared" si="0"/>
        <v>0.99946380011837332</v>
      </c>
      <c r="L61" s="18"/>
    </row>
    <row r="62" spans="1:12" s="3" customFormat="1" ht="26.25" customHeight="1">
      <c r="A62" s="30" t="s">
        <v>92</v>
      </c>
      <c r="B62" s="31">
        <v>1</v>
      </c>
      <c r="C62" s="644"/>
      <c r="D62" s="647"/>
      <c r="E62" s="88">
        <v>3</v>
      </c>
      <c r="F62" s="91">
        <v>8710467</v>
      </c>
      <c r="G62" s="89">
        <f>IF(ISBLANK(F62),"-",(F62/$D$50*$D$47*$B$68)*($B$57/$D$60))</f>
        <v>290.17496617298366</v>
      </c>
      <c r="H62" s="90">
        <f t="shared" si="0"/>
        <v>0.96724988724327887</v>
      </c>
      <c r="L62" s="18"/>
    </row>
    <row r="63" spans="1:12" ht="27" customHeight="1" thickBot="1">
      <c r="A63" s="30" t="s">
        <v>93</v>
      </c>
      <c r="B63" s="31">
        <v>1</v>
      </c>
      <c r="C63" s="645"/>
      <c r="D63" s="648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>
      <c r="A64" s="30" t="s">
        <v>94</v>
      </c>
      <c r="B64" s="31">
        <v>1</v>
      </c>
      <c r="C64" s="643" t="s">
        <v>95</v>
      </c>
      <c r="D64" s="646">
        <v>943.45</v>
      </c>
      <c r="E64" s="84">
        <v>1</v>
      </c>
      <c r="F64" s="85">
        <v>8802455</v>
      </c>
      <c r="G64" s="94">
        <f>IF(ISBLANK(F64),"-",(F64/$D$50*$D$47*$B$68)*($B$57/$D$64))</f>
        <v>295.13537385296854</v>
      </c>
      <c r="H64" s="95">
        <f t="shared" si="0"/>
        <v>0.98378457950989517</v>
      </c>
    </row>
    <row r="65" spans="1:8" ht="26.25" customHeight="1">
      <c r="A65" s="30" t="s">
        <v>96</v>
      </c>
      <c r="B65" s="31">
        <v>1</v>
      </c>
      <c r="C65" s="644"/>
      <c r="D65" s="647"/>
      <c r="E65" s="88">
        <v>2</v>
      </c>
      <c r="F65" s="43">
        <v>8731921</v>
      </c>
      <c r="G65" s="96">
        <f>IF(ISBLANK(F65),"-",(F65/$D$50*$D$47*$B$68)*($B$57/$D$64))</f>
        <v>292.77045651350534</v>
      </c>
      <c r="H65" s="97">
        <f t="shared" si="0"/>
        <v>0.97590152171168443</v>
      </c>
    </row>
    <row r="66" spans="1:8" ht="26.25" customHeight="1">
      <c r="A66" s="30" t="s">
        <v>97</v>
      </c>
      <c r="B66" s="31">
        <v>1</v>
      </c>
      <c r="C66" s="644"/>
      <c r="D66" s="647"/>
      <c r="E66" s="88">
        <v>3</v>
      </c>
      <c r="F66" s="43">
        <v>8601199</v>
      </c>
      <c r="G66" s="96">
        <f>IF(ISBLANK(F66),"-",(F66/$D$50*$D$47*$B$68)*($B$57/$D$64))</f>
        <v>288.38751035350703</v>
      </c>
      <c r="H66" s="97">
        <f t="shared" si="0"/>
        <v>0.96129170117835672</v>
      </c>
    </row>
    <row r="67" spans="1:8" ht="27" customHeight="1" thickBot="1">
      <c r="A67" s="30" t="s">
        <v>98</v>
      </c>
      <c r="B67" s="31">
        <v>1</v>
      </c>
      <c r="C67" s="645"/>
      <c r="D67" s="648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>
      <c r="A68" s="30" t="s">
        <v>99</v>
      </c>
      <c r="B68" s="100">
        <f>(B67/B66)*(B65/B64)*(B63/B62)*(B61/B60)*B59</f>
        <v>1250</v>
      </c>
      <c r="C68" s="643" t="s">
        <v>100</v>
      </c>
      <c r="D68" s="646">
        <v>951.97</v>
      </c>
      <c r="E68" s="84">
        <v>1</v>
      </c>
      <c r="F68" s="85"/>
      <c r="G68" s="94" t="str">
        <f>IF(ISBLANK(F68),"-",(F68/$D$50*$D$47*$B$68)*($B$57/$D$68))</f>
        <v>-</v>
      </c>
      <c r="H68" s="90" t="str">
        <f t="shared" si="0"/>
        <v>-</v>
      </c>
    </row>
    <row r="69" spans="1:8" ht="27" customHeight="1" thickBot="1">
      <c r="A69" s="75" t="s">
        <v>101</v>
      </c>
      <c r="B69" s="101">
        <f>(D47*B68)/B56*B57</f>
        <v>948.86649999999986</v>
      </c>
      <c r="C69" s="644"/>
      <c r="D69" s="647"/>
      <c r="E69" s="88">
        <v>2</v>
      </c>
      <c r="F69" s="43"/>
      <c r="G69" s="96" t="str">
        <f>IF(ISBLANK(F69),"-",(F69/$D$50*$D$47*$B$68)*($B$57/$D$68))</f>
        <v>-</v>
      </c>
      <c r="H69" s="90" t="str">
        <f t="shared" si="0"/>
        <v>-</v>
      </c>
    </row>
    <row r="70" spans="1:8" ht="26.25" customHeight="1">
      <c r="A70" s="657" t="s">
        <v>74</v>
      </c>
      <c r="B70" s="658"/>
      <c r="C70" s="644"/>
      <c r="D70" s="647"/>
      <c r="E70" s="88">
        <v>3</v>
      </c>
      <c r="F70" s="43"/>
      <c r="G70" s="96" t="str">
        <f>IF(ISBLANK(F70),"-",(F70/$D$50*$D$47*$B$68)*($B$57/$D$68))</f>
        <v>-</v>
      </c>
      <c r="H70" s="90" t="str">
        <f t="shared" si="0"/>
        <v>-</v>
      </c>
    </row>
    <row r="71" spans="1:8" ht="27" customHeight="1" thickBot="1">
      <c r="A71" s="659"/>
      <c r="B71" s="660"/>
      <c r="C71" s="649"/>
      <c r="D71" s="648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>
      <c r="A72" s="59"/>
      <c r="B72" s="59"/>
      <c r="C72" s="59"/>
      <c r="D72" s="59"/>
      <c r="E72" s="59"/>
      <c r="F72" s="103" t="s">
        <v>67</v>
      </c>
      <c r="G72" s="104">
        <f>AVERAGE(G60:G71)</f>
        <v>294.99010768327912</v>
      </c>
      <c r="H72" s="105">
        <f>AVERAGE(H60:H71)</f>
        <v>0.9833003589442636</v>
      </c>
    </row>
    <row r="73" spans="1:8" ht="26.25" customHeight="1">
      <c r="C73" s="59"/>
      <c r="D73" s="59"/>
      <c r="E73" s="59"/>
      <c r="F73" s="106" t="s">
        <v>80</v>
      </c>
      <c r="G73" s="107">
        <f>STDEV(G60:G71)/G72</f>
        <v>1.9763344246104524E-2</v>
      </c>
      <c r="H73" s="107">
        <f>STDEV(H60:H71)/H72</f>
        <v>1.9763344246106151E-2</v>
      </c>
    </row>
    <row r="74" spans="1:8" ht="27" customHeight="1" thickBot="1">
      <c r="A74" s="59"/>
      <c r="B74" s="59"/>
      <c r="C74" s="59"/>
      <c r="D74" s="59"/>
      <c r="E74" s="61"/>
      <c r="F74" s="108" t="s">
        <v>16</v>
      </c>
      <c r="G74" s="109">
        <f>COUNT(G60:G71)</f>
        <v>6</v>
      </c>
      <c r="H74" s="109">
        <f>COUNT(H60:H71)</f>
        <v>6</v>
      </c>
    </row>
    <row r="76" spans="1:8" ht="26.25" customHeight="1">
      <c r="A76" s="14" t="s">
        <v>102</v>
      </c>
      <c r="B76" s="15" t="s">
        <v>103</v>
      </c>
      <c r="C76" s="639" t="str">
        <f>B20</f>
        <v xml:space="preserve">Tenofovir Disoproxil Fumarate 300mg, Lamivudine 300mg &amp; Efavirenz 600mg </v>
      </c>
      <c r="D76" s="639"/>
      <c r="E76" s="5" t="s">
        <v>104</v>
      </c>
      <c r="F76" s="5"/>
      <c r="G76" s="110">
        <f>H72</f>
        <v>0.9833003589442636</v>
      </c>
      <c r="H76" s="19"/>
    </row>
    <row r="77" spans="1:8" ht="18.75">
      <c r="A77" s="13" t="s">
        <v>105</v>
      </c>
      <c r="B77" s="13" t="s">
        <v>106</v>
      </c>
    </row>
    <row r="78" spans="1:8" ht="18.75">
      <c r="A78" s="13"/>
      <c r="B78" s="13"/>
    </row>
    <row r="79" spans="1:8" ht="26.25" customHeight="1">
      <c r="A79" s="14" t="s">
        <v>4</v>
      </c>
      <c r="B79" s="650" t="str">
        <f>B26</f>
        <v>Tenofovir Disoproxil Fumurate</v>
      </c>
      <c r="C79" s="650"/>
    </row>
    <row r="80" spans="1:8" ht="26.25" customHeight="1">
      <c r="A80" s="15" t="s">
        <v>44</v>
      </c>
      <c r="B80" s="650" t="str">
        <f>B27</f>
        <v>T11-8</v>
      </c>
      <c r="C80" s="650"/>
    </row>
    <row r="81" spans="1:12" ht="27" customHeight="1" thickBot="1">
      <c r="A81" s="15" t="s">
        <v>5</v>
      </c>
      <c r="B81" s="16">
        <f>B28</f>
        <v>98.8</v>
      </c>
    </row>
    <row r="82" spans="1:12" s="3" customFormat="1" ht="27" customHeight="1" thickBot="1">
      <c r="A82" s="15" t="s">
        <v>45</v>
      </c>
      <c r="B82" s="17">
        <v>0</v>
      </c>
      <c r="C82" s="651" t="s">
        <v>46</v>
      </c>
      <c r="D82" s="652"/>
      <c r="E82" s="652"/>
      <c r="F82" s="652"/>
      <c r="G82" s="653"/>
      <c r="I82" s="18"/>
      <c r="J82" s="18"/>
      <c r="K82" s="18"/>
      <c r="L82" s="18"/>
    </row>
    <row r="83" spans="1:12" s="3" customFormat="1" ht="19.5" customHeight="1" thickBot="1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>
      <c r="A84" s="15" t="s">
        <v>48</v>
      </c>
      <c r="B84" s="22">
        <v>1</v>
      </c>
      <c r="C84" s="654" t="s">
        <v>107</v>
      </c>
      <c r="D84" s="655"/>
      <c r="E84" s="655"/>
      <c r="F84" s="655"/>
      <c r="G84" s="655"/>
      <c r="H84" s="656"/>
      <c r="I84" s="18"/>
      <c r="J84" s="18"/>
      <c r="K84" s="18"/>
      <c r="L84" s="18"/>
    </row>
    <row r="85" spans="1:12" s="3" customFormat="1" ht="27" customHeight="1" thickBot="1">
      <c r="A85" s="15" t="s">
        <v>50</v>
      </c>
      <c r="B85" s="22">
        <v>1</v>
      </c>
      <c r="C85" s="654" t="s">
        <v>108</v>
      </c>
      <c r="D85" s="655"/>
      <c r="E85" s="655"/>
      <c r="F85" s="655"/>
      <c r="G85" s="655"/>
      <c r="H85" s="656"/>
      <c r="I85" s="18"/>
      <c r="J85" s="18"/>
      <c r="K85" s="18"/>
      <c r="L85" s="18"/>
    </row>
    <row r="86" spans="1:12" s="3" customFormat="1" ht="18.75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>
      <c r="A88" s="13"/>
      <c r="B88" s="13"/>
    </row>
    <row r="89" spans="1:12" ht="27" customHeight="1" thickBot="1">
      <c r="A89" s="28" t="s">
        <v>54</v>
      </c>
      <c r="B89" s="29">
        <v>50</v>
      </c>
      <c r="D89" s="111" t="s">
        <v>55</v>
      </c>
      <c r="E89" s="112"/>
      <c r="F89" s="641" t="s">
        <v>56</v>
      </c>
      <c r="G89" s="642"/>
    </row>
    <row r="90" spans="1:12" ht="27" customHeight="1" thickBot="1">
      <c r="A90" s="30" t="s">
        <v>57</v>
      </c>
      <c r="B90" s="31">
        <v>1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>
      <c r="A91" s="30" t="s">
        <v>62</v>
      </c>
      <c r="B91" s="31">
        <v>1</v>
      </c>
      <c r="C91" s="115">
        <v>1</v>
      </c>
      <c r="D91" s="38">
        <v>69923567</v>
      </c>
      <c r="E91" s="39">
        <f>IF(ISBLANK(D91),"-",$D$101/$D$98*D91)</f>
        <v>73875617.007429451</v>
      </c>
      <c r="F91" s="38">
        <v>74974527</v>
      </c>
      <c r="G91" s="40">
        <f>IF(ISBLANK(F91),"-",$D$101/$F$98*F91)</f>
        <v>74788254.387738273</v>
      </c>
      <c r="I91" s="41"/>
    </row>
    <row r="92" spans="1:12" ht="26.25" customHeight="1">
      <c r="A92" s="30" t="s">
        <v>63</v>
      </c>
      <c r="B92" s="31">
        <v>1</v>
      </c>
      <c r="C92" s="59">
        <v>2</v>
      </c>
      <c r="D92" s="43">
        <v>70256073</v>
      </c>
      <c r="E92" s="44">
        <f>IF(ISBLANK(D92),"-",$D$101/$D$98*D92)</f>
        <v>74226916.103893906</v>
      </c>
      <c r="F92" s="43">
        <v>75086769</v>
      </c>
      <c r="G92" s="45">
        <f>IF(ISBLANK(F92),"-",$D$101/$F$98*F92)</f>
        <v>74900217.524884686</v>
      </c>
      <c r="I92" s="632">
        <f>ABS((F96/D96*D95)-F95)/D95</f>
        <v>1.1931851301565875E-2</v>
      </c>
    </row>
    <row r="93" spans="1:12" ht="26.25" customHeight="1">
      <c r="A93" s="30" t="s">
        <v>64</v>
      </c>
      <c r="B93" s="31">
        <v>1</v>
      </c>
      <c r="C93" s="59">
        <v>3</v>
      </c>
      <c r="D93" s="43">
        <v>69904126</v>
      </c>
      <c r="E93" s="44">
        <f>IF(ISBLANK(D93),"-",$D$101/$D$98*D93)</f>
        <v>73855077.210450247</v>
      </c>
      <c r="F93" s="43">
        <v>74955825</v>
      </c>
      <c r="G93" s="45">
        <f>IF(ISBLANK(F93),"-",$D$101/$F$98*F93)</f>
        <v>74769598.852458134</v>
      </c>
      <c r="I93" s="632"/>
    </row>
    <row r="94" spans="1:12" ht="27" customHeight="1" thickBot="1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>
      <c r="A95" s="30" t="s">
        <v>66</v>
      </c>
      <c r="B95" s="31">
        <v>1</v>
      </c>
      <c r="C95" s="15" t="s">
        <v>67</v>
      </c>
      <c r="D95" s="118">
        <f>AVERAGE(D91:D94)</f>
        <v>70027922</v>
      </c>
      <c r="E95" s="53">
        <f>AVERAGE(E91:E94)</f>
        <v>73985870.107257858</v>
      </c>
      <c r="F95" s="119">
        <f>AVERAGE(F91:F94)</f>
        <v>75005707</v>
      </c>
      <c r="G95" s="120">
        <f>AVERAGE(G91:G94)</f>
        <v>74819356.921693698</v>
      </c>
    </row>
    <row r="96" spans="1:12" ht="26.25" customHeight="1">
      <c r="A96" s="30" t="s">
        <v>68</v>
      </c>
      <c r="B96" s="16">
        <v>1</v>
      </c>
      <c r="C96" s="121" t="s">
        <v>109</v>
      </c>
      <c r="D96" s="122">
        <v>14.37</v>
      </c>
      <c r="E96" s="5"/>
      <c r="F96" s="56">
        <v>15.22</v>
      </c>
    </row>
    <row r="97" spans="1:10" ht="26.25" customHeight="1">
      <c r="A97" s="30" t="s">
        <v>70</v>
      </c>
      <c r="B97" s="16">
        <v>1</v>
      </c>
      <c r="C97" s="123" t="s">
        <v>110</v>
      </c>
      <c r="D97" s="124">
        <f>D96*$B$87</f>
        <v>14.37</v>
      </c>
      <c r="E97" s="59"/>
      <c r="F97" s="58">
        <f>F96*$B$87</f>
        <v>15.22</v>
      </c>
    </row>
    <row r="98" spans="1:10" ht="19.5" customHeight="1" thickBot="1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14.197559999999999</v>
      </c>
      <c r="E98" s="61"/>
      <c r="F98" s="60">
        <f>F97*$B$83/100</f>
        <v>15.037360000000001</v>
      </c>
    </row>
    <row r="99" spans="1:10" ht="19.5" customHeight="1" thickBot="1">
      <c r="A99" s="633" t="s">
        <v>74</v>
      </c>
      <c r="B99" s="634"/>
      <c r="C99" s="123" t="s">
        <v>112</v>
      </c>
      <c r="D99" s="126">
        <f>D98/$B$98</f>
        <v>0.28395119999999996</v>
      </c>
      <c r="E99" s="61"/>
      <c r="F99" s="64">
        <f>F98/$B$98</f>
        <v>0.30074720000000005</v>
      </c>
      <c r="H99" s="4"/>
    </row>
    <row r="100" spans="1:10" ht="19.5" customHeight="1" thickBot="1">
      <c r="A100" s="635"/>
      <c r="B100" s="636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>
      <c r="C102" s="129" t="s">
        <v>78</v>
      </c>
      <c r="D102" s="130">
        <f>D101/B34</f>
        <v>15</v>
      </c>
      <c r="F102" s="73"/>
      <c r="H102" s="4"/>
      <c r="J102" s="131"/>
    </row>
    <row r="103" spans="1:10" ht="18.75">
      <c r="C103" s="132" t="s">
        <v>113</v>
      </c>
      <c r="D103" s="133">
        <f>AVERAGE(E91:E94,G91:G94)</f>
        <v>74402613.514475778</v>
      </c>
      <c r="F103" s="73"/>
      <c r="G103" s="128"/>
      <c r="H103" s="4"/>
      <c r="J103" s="134"/>
    </row>
    <row r="104" spans="1:10" ht="18.75">
      <c r="C104" s="106" t="s">
        <v>80</v>
      </c>
      <c r="D104" s="135">
        <f>STDEV(E91:E94,G91:G94)/D103</f>
        <v>6.4160019946741956E-3</v>
      </c>
      <c r="F104" s="73"/>
      <c r="H104" s="4"/>
      <c r="J104" s="134"/>
    </row>
    <row r="105" spans="1:10" ht="19.5" customHeight="1" thickBot="1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>
      <c r="A106" s="77"/>
      <c r="B106" s="77"/>
      <c r="C106" s="77"/>
      <c r="D106" s="77"/>
      <c r="E106" s="77"/>
    </row>
    <row r="107" spans="1:10" ht="26.25" customHeight="1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>
      <c r="A108" s="30" t="s">
        <v>118</v>
      </c>
      <c r="B108" s="31">
        <v>1</v>
      </c>
      <c r="C108" s="140">
        <v>1</v>
      </c>
      <c r="D108" s="141">
        <v>66899206</v>
      </c>
      <c r="E108" s="142">
        <f t="shared" ref="E108:E113" si="1">IF(ISBLANK(D108),"-",D108/$D$103*$D$100*$B$116)</f>
        <v>269.74538731889072</v>
      </c>
      <c r="F108" s="143">
        <f t="shared" ref="F108:F113" si="2">IF(ISBLANK(D108), "-", E108/$B$56)</f>
        <v>0.89915129106296909</v>
      </c>
    </row>
    <row r="109" spans="1:10" ht="26.25" customHeight="1">
      <c r="A109" s="30" t="s">
        <v>91</v>
      </c>
      <c r="B109" s="31">
        <v>1</v>
      </c>
      <c r="C109" s="140">
        <v>2</v>
      </c>
      <c r="D109" s="141">
        <v>68996043</v>
      </c>
      <c r="E109" s="144">
        <f t="shared" si="1"/>
        <v>278.20007822672574</v>
      </c>
      <c r="F109" s="145">
        <f t="shared" si="2"/>
        <v>0.92733359408908578</v>
      </c>
    </row>
    <row r="110" spans="1:10" ht="26.25" customHeight="1">
      <c r="A110" s="30" t="s">
        <v>92</v>
      </c>
      <c r="B110" s="31">
        <v>1</v>
      </c>
      <c r="C110" s="140">
        <v>3</v>
      </c>
      <c r="D110" s="141">
        <v>68680193</v>
      </c>
      <c r="E110" s="144">
        <f t="shared" si="1"/>
        <v>276.92653425395162</v>
      </c>
      <c r="F110" s="145">
        <f t="shared" si="2"/>
        <v>0.92308844751317209</v>
      </c>
    </row>
    <row r="111" spans="1:10" ht="26.25" customHeight="1">
      <c r="A111" s="30" t="s">
        <v>93</v>
      </c>
      <c r="B111" s="31">
        <v>1</v>
      </c>
      <c r="C111" s="140">
        <v>4</v>
      </c>
      <c r="D111" s="141">
        <v>69121905</v>
      </c>
      <c r="E111" s="144">
        <f t="shared" si="1"/>
        <v>278.70756846418425</v>
      </c>
      <c r="F111" s="145">
        <f t="shared" si="2"/>
        <v>0.92902522821394751</v>
      </c>
    </row>
    <row r="112" spans="1:10" ht="26.25" customHeight="1">
      <c r="A112" s="30" t="s">
        <v>94</v>
      </c>
      <c r="B112" s="31">
        <v>1</v>
      </c>
      <c r="C112" s="140">
        <v>5</v>
      </c>
      <c r="D112" s="141">
        <v>66515272</v>
      </c>
      <c r="E112" s="144">
        <f t="shared" si="1"/>
        <v>268.1973207314503</v>
      </c>
      <c r="F112" s="145">
        <f t="shared" si="2"/>
        <v>0.89399106910483439</v>
      </c>
    </row>
    <row r="113" spans="1:10" ht="26.25" customHeight="1">
      <c r="A113" s="30" t="s">
        <v>96</v>
      </c>
      <c r="B113" s="31">
        <v>1</v>
      </c>
      <c r="C113" s="146">
        <v>6</v>
      </c>
      <c r="D113" s="147">
        <v>66577314</v>
      </c>
      <c r="E113" s="148">
        <f t="shared" si="1"/>
        <v>268.44748129867799</v>
      </c>
      <c r="F113" s="149">
        <f t="shared" si="2"/>
        <v>0.8948249376622599</v>
      </c>
    </row>
    <row r="114" spans="1:10" ht="26.25" customHeight="1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273.37072838231342</v>
      </c>
      <c r="F115" s="153">
        <f>AVERAGE(F108:F113)</f>
        <v>0.91123576127437811</v>
      </c>
    </row>
    <row r="116" spans="1:10" ht="27" customHeight="1" thickBot="1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1.8551245675811911E-2</v>
      </c>
      <c r="F116" s="155">
        <f>STDEV(F108:F113)/F115</f>
        <v>1.8551245675813122E-2</v>
      </c>
      <c r="I116" s="5"/>
    </row>
    <row r="117" spans="1:10" ht="27" customHeight="1" thickBot="1">
      <c r="A117" s="633" t="s">
        <v>74</v>
      </c>
      <c r="B117" s="637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>
      <c r="A118" s="635"/>
      <c r="B118" s="638"/>
      <c r="C118" s="5"/>
      <c r="D118" s="5"/>
      <c r="E118" s="5"/>
      <c r="F118" s="59"/>
      <c r="G118" s="5"/>
      <c r="H118" s="5"/>
      <c r="I118" s="5"/>
    </row>
    <row r="119" spans="1:10" ht="18.75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>
      <c r="A120" s="14" t="s">
        <v>102</v>
      </c>
      <c r="B120" s="15" t="s">
        <v>119</v>
      </c>
      <c r="C120" s="639" t="str">
        <f>B20</f>
        <v xml:space="preserve">Tenofovir Disoproxil Fumarate 300mg, Lamivudine 300mg &amp; Efavirenz 600mg </v>
      </c>
      <c r="D120" s="639"/>
      <c r="E120" s="5" t="s">
        <v>120</v>
      </c>
      <c r="F120" s="5"/>
      <c r="G120" s="110">
        <f>F115</f>
        <v>0.91123576127437811</v>
      </c>
      <c r="H120" s="5"/>
      <c r="I120" s="5"/>
    </row>
    <row r="121" spans="1:10" ht="19.5" customHeight="1" thickBot="1">
      <c r="A121" s="160"/>
      <c r="B121" s="160"/>
      <c r="C121" s="161"/>
      <c r="D121" s="161"/>
      <c r="E121" s="161"/>
      <c r="F121" s="161"/>
      <c r="G121" s="161"/>
      <c r="H121" s="161"/>
    </row>
    <row r="122" spans="1:10" ht="18.75">
      <c r="B122" s="640" t="s">
        <v>22</v>
      </c>
      <c r="C122" s="640"/>
      <c r="E122" s="113" t="s">
        <v>23</v>
      </c>
      <c r="F122" s="162"/>
      <c r="G122" s="640" t="s">
        <v>24</v>
      </c>
      <c r="H122" s="640"/>
    </row>
    <row r="123" spans="1:10" ht="69.95" customHeight="1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>
      <c r="A250" s="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I49"/>
  <sheetViews>
    <sheetView workbookViewId="0">
      <selection activeCell="E15" sqref="E15"/>
    </sheetView>
  </sheetViews>
  <sheetFormatPr defaultRowHeight="13.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79"/>
  </cols>
  <sheetData>
    <row r="3" spans="1:5" ht="18.75" customHeight="1">
      <c r="A3" s="671" t="s">
        <v>0</v>
      </c>
      <c r="B3" s="671"/>
      <c r="C3" s="671"/>
      <c r="D3" s="671"/>
      <c r="E3" s="671"/>
    </row>
    <row r="4" spans="1:5" ht="16.5" customHeight="1">
      <c r="A4" s="544" t="s">
        <v>1</v>
      </c>
      <c r="B4" s="545" t="s">
        <v>2</v>
      </c>
    </row>
    <row r="5" spans="1:5" ht="16.5" customHeight="1">
      <c r="A5" s="546" t="s">
        <v>3</v>
      </c>
      <c r="B5" s="546" t="s">
        <v>121</v>
      </c>
      <c r="D5" s="547"/>
      <c r="E5" s="548"/>
    </row>
    <row r="6" spans="1:5" ht="16.5" customHeight="1">
      <c r="A6" s="549" t="s">
        <v>4</v>
      </c>
      <c r="B6" s="550" t="s">
        <v>125</v>
      </c>
      <c r="C6" s="548"/>
      <c r="D6" s="548"/>
      <c r="E6" s="548"/>
    </row>
    <row r="7" spans="1:5" ht="16.5" customHeight="1">
      <c r="A7" s="549" t="s">
        <v>5</v>
      </c>
      <c r="B7" s="547">
        <v>100</v>
      </c>
      <c r="C7" s="548"/>
      <c r="D7" s="548"/>
      <c r="E7" s="548"/>
    </row>
    <row r="8" spans="1:5" ht="16.5" customHeight="1">
      <c r="A8" s="546" t="s">
        <v>6</v>
      </c>
      <c r="B8" s="550">
        <f>Lamivudine!D43</f>
        <v>14.27</v>
      </c>
      <c r="C8" s="548"/>
      <c r="D8" s="548"/>
      <c r="E8" s="548"/>
    </row>
    <row r="9" spans="1:5" ht="16.5" customHeight="1">
      <c r="A9" s="546" t="s">
        <v>7</v>
      </c>
      <c r="B9" s="551">
        <f>B8/50*10/25</f>
        <v>0.11416</v>
      </c>
      <c r="C9" s="548"/>
      <c r="D9" s="548"/>
      <c r="E9" s="548"/>
    </row>
    <row r="10" spans="1:5" ht="15.75" customHeight="1">
      <c r="A10" s="548"/>
      <c r="B10" s="552"/>
      <c r="C10" s="548"/>
      <c r="D10" s="548"/>
      <c r="E10" s="548"/>
    </row>
    <row r="11" spans="1:5" ht="16.5" customHeight="1">
      <c r="A11" s="553" t="s">
        <v>9</v>
      </c>
      <c r="B11" s="554" t="s">
        <v>10</v>
      </c>
      <c r="C11" s="553" t="s">
        <v>11</v>
      </c>
      <c r="D11" s="553" t="s">
        <v>12</v>
      </c>
      <c r="E11" s="553" t="s">
        <v>13</v>
      </c>
    </row>
    <row r="12" spans="1:5" ht="16.5" customHeight="1">
      <c r="A12" s="555">
        <v>1</v>
      </c>
      <c r="B12" s="556">
        <v>21596044</v>
      </c>
      <c r="C12" s="556">
        <v>4917.6000000000004</v>
      </c>
      <c r="D12" s="557">
        <v>0.8</v>
      </c>
      <c r="E12" s="558">
        <v>4.5</v>
      </c>
    </row>
    <row r="13" spans="1:5" ht="16.5" customHeight="1">
      <c r="A13" s="555">
        <v>2</v>
      </c>
      <c r="B13" s="556">
        <v>21677631</v>
      </c>
      <c r="C13" s="556">
        <v>4943.8</v>
      </c>
      <c r="D13" s="557">
        <v>0.8</v>
      </c>
      <c r="E13" s="557">
        <v>4.5</v>
      </c>
    </row>
    <row r="14" spans="1:5" ht="16.5" customHeight="1">
      <c r="A14" s="555">
        <v>3</v>
      </c>
      <c r="B14" s="556">
        <v>21779203</v>
      </c>
      <c r="C14" s="556">
        <v>4861.3999999999996</v>
      </c>
      <c r="D14" s="557">
        <v>0.8</v>
      </c>
      <c r="E14" s="557">
        <v>4.5</v>
      </c>
    </row>
    <row r="15" spans="1:5" ht="16.5" customHeight="1">
      <c r="A15" s="555">
        <v>4</v>
      </c>
      <c r="B15" s="556">
        <v>21811529</v>
      </c>
      <c r="C15" s="556">
        <v>4886.1000000000004</v>
      </c>
      <c r="D15" s="557">
        <v>0.8</v>
      </c>
      <c r="E15" s="557">
        <v>4.5</v>
      </c>
    </row>
    <row r="16" spans="1:5" ht="16.5" customHeight="1">
      <c r="A16" s="555">
        <v>5</v>
      </c>
      <c r="B16" s="556">
        <v>22128561</v>
      </c>
      <c r="C16" s="556">
        <v>4901.5</v>
      </c>
      <c r="D16" s="557">
        <v>0.8</v>
      </c>
      <c r="E16" s="557">
        <v>4.5</v>
      </c>
    </row>
    <row r="17" spans="1:5" ht="16.5" customHeight="1">
      <c r="A17" s="555">
        <v>6</v>
      </c>
      <c r="B17" s="559">
        <v>21940691</v>
      </c>
      <c r="C17" s="559">
        <v>4878.1000000000004</v>
      </c>
      <c r="D17" s="560">
        <v>0.8</v>
      </c>
      <c r="E17" s="560">
        <v>4.5</v>
      </c>
    </row>
    <row r="18" spans="1:5" ht="16.5" customHeight="1">
      <c r="A18" s="561" t="s">
        <v>14</v>
      </c>
      <c r="B18" s="562">
        <f>AVERAGE(B12:B17)</f>
        <v>21822276.5</v>
      </c>
      <c r="C18" s="563">
        <f>AVERAGE(C12:C17)</f>
        <v>4898.083333333333</v>
      </c>
      <c r="D18" s="564">
        <f>AVERAGE(D12:D17)</f>
        <v>0.79999999999999993</v>
      </c>
      <c r="E18" s="564">
        <f>AVERAGE(E12:E17)</f>
        <v>4.5</v>
      </c>
    </row>
    <row r="19" spans="1:5" ht="16.5" customHeight="1">
      <c r="A19" s="565" t="s">
        <v>15</v>
      </c>
      <c r="B19" s="566">
        <f>(STDEV(B12:B17)/B18)</f>
        <v>8.7405555837998371E-3</v>
      </c>
      <c r="C19" s="567"/>
      <c r="D19" s="567"/>
      <c r="E19" s="568"/>
    </row>
    <row r="20" spans="1:5" s="543" customFormat="1" ht="16.5" customHeight="1">
      <c r="A20" s="569" t="s">
        <v>16</v>
      </c>
      <c r="B20" s="570">
        <f>COUNT(B12:B17)</f>
        <v>6</v>
      </c>
      <c r="C20" s="571"/>
      <c r="D20" s="572"/>
      <c r="E20" s="573"/>
    </row>
    <row r="21" spans="1:5" s="543" customFormat="1" ht="15.75" customHeight="1">
      <c r="A21" s="548"/>
      <c r="B21" s="548"/>
      <c r="C21" s="548"/>
      <c r="D21" s="548"/>
      <c r="E21" s="548"/>
    </row>
    <row r="22" spans="1:5" s="543" customFormat="1" ht="16.5" customHeight="1">
      <c r="A22" s="549" t="s">
        <v>17</v>
      </c>
      <c r="B22" s="574" t="s">
        <v>18</v>
      </c>
      <c r="C22" s="575"/>
      <c r="D22" s="575"/>
      <c r="E22" s="575"/>
    </row>
    <row r="23" spans="1:5" ht="16.5" customHeight="1">
      <c r="A23" s="549"/>
      <c r="B23" s="574" t="s">
        <v>19</v>
      </c>
      <c r="C23" s="575"/>
      <c r="D23" s="575"/>
      <c r="E23" s="575"/>
    </row>
    <row r="24" spans="1:5" ht="16.5" customHeight="1">
      <c r="A24" s="549"/>
      <c r="B24" s="574" t="s">
        <v>20</v>
      </c>
      <c r="C24" s="575"/>
      <c r="D24" s="575"/>
      <c r="E24" s="575"/>
    </row>
    <row r="25" spans="1:5" ht="15.75" customHeight="1">
      <c r="A25" s="548"/>
      <c r="B25" s="548"/>
      <c r="C25" s="548"/>
      <c r="D25" s="548"/>
      <c r="E25" s="548"/>
    </row>
    <row r="26" spans="1:5" ht="16.5" customHeight="1">
      <c r="A26" s="544" t="s">
        <v>1</v>
      </c>
      <c r="B26" s="545" t="s">
        <v>21</v>
      </c>
    </row>
    <row r="27" spans="1:5" ht="16.5" customHeight="1">
      <c r="A27" s="549" t="s">
        <v>4</v>
      </c>
      <c r="B27" s="546" t="s">
        <v>125</v>
      </c>
      <c r="C27" s="548"/>
      <c r="D27" s="548"/>
      <c r="E27" s="548"/>
    </row>
    <row r="28" spans="1:5" ht="16.5" customHeight="1">
      <c r="A28" s="549" t="s">
        <v>5</v>
      </c>
      <c r="B28" s="550">
        <v>100</v>
      </c>
      <c r="C28" s="548"/>
      <c r="D28" s="548"/>
      <c r="E28" s="548"/>
    </row>
    <row r="29" spans="1:5" ht="16.5" customHeight="1">
      <c r="A29" s="546" t="s">
        <v>6</v>
      </c>
      <c r="B29" s="550">
        <f>Lamivudine!D96</f>
        <v>14.64</v>
      </c>
      <c r="C29" s="548"/>
      <c r="D29" s="548"/>
      <c r="E29" s="548"/>
    </row>
    <row r="30" spans="1:5" ht="16.5" customHeight="1">
      <c r="A30" s="546" t="s">
        <v>7</v>
      </c>
      <c r="B30" s="551">
        <f>B29/50</f>
        <v>0.2928</v>
      </c>
      <c r="C30" s="548"/>
      <c r="D30" s="548"/>
      <c r="E30" s="548"/>
    </row>
    <row r="31" spans="1:5" ht="15.75" customHeight="1">
      <c r="A31" s="548"/>
      <c r="B31" s="548"/>
      <c r="C31" s="548"/>
      <c r="D31" s="548"/>
      <c r="E31" s="548"/>
    </row>
    <row r="32" spans="1:5" ht="16.5" customHeight="1">
      <c r="A32" s="553" t="s">
        <v>9</v>
      </c>
      <c r="B32" s="554" t="s">
        <v>10</v>
      </c>
      <c r="C32" s="553" t="s">
        <v>11</v>
      </c>
      <c r="D32" s="553" t="s">
        <v>12</v>
      </c>
      <c r="E32" s="553" t="s">
        <v>13</v>
      </c>
    </row>
    <row r="33" spans="1:7" ht="16.5" customHeight="1">
      <c r="A33" s="555">
        <v>1</v>
      </c>
      <c r="B33" s="556">
        <v>103423348</v>
      </c>
      <c r="C33" s="556">
        <v>64827.3</v>
      </c>
      <c r="D33" s="557">
        <v>1.1000000000000001</v>
      </c>
      <c r="E33" s="558">
        <v>8.7799999999999994</v>
      </c>
    </row>
    <row r="34" spans="1:7" ht="16.5" customHeight="1">
      <c r="A34" s="555">
        <v>2</v>
      </c>
      <c r="B34" s="556">
        <v>103333666</v>
      </c>
      <c r="C34" s="556">
        <v>64987.3</v>
      </c>
      <c r="D34" s="557">
        <v>1.1000000000000001</v>
      </c>
      <c r="E34" s="557">
        <v>8.7799999999999994</v>
      </c>
    </row>
    <row r="35" spans="1:7" ht="16.5" customHeight="1">
      <c r="A35" s="555">
        <v>3</v>
      </c>
      <c r="B35" s="556">
        <v>103249741</v>
      </c>
      <c r="C35" s="556">
        <v>64712.7</v>
      </c>
      <c r="D35" s="557">
        <v>1.2</v>
      </c>
      <c r="E35" s="557">
        <v>8.77</v>
      </c>
    </row>
    <row r="36" spans="1:7" ht="16.5" customHeight="1">
      <c r="A36" s="555">
        <v>4</v>
      </c>
      <c r="B36" s="556">
        <v>103622652</v>
      </c>
      <c r="C36" s="556">
        <v>63861.4</v>
      </c>
      <c r="D36" s="557">
        <v>1.1000000000000001</v>
      </c>
      <c r="E36" s="557">
        <v>8.77</v>
      </c>
    </row>
    <row r="37" spans="1:7" ht="16.5" customHeight="1">
      <c r="A37" s="555">
        <v>5</v>
      </c>
      <c r="B37" s="556">
        <v>103818340</v>
      </c>
      <c r="C37" s="556">
        <v>62704.5</v>
      </c>
      <c r="D37" s="557">
        <v>1.2</v>
      </c>
      <c r="E37" s="557">
        <v>8.7799999999999994</v>
      </c>
    </row>
    <row r="38" spans="1:7" ht="16.5" customHeight="1">
      <c r="A38" s="555">
        <v>6</v>
      </c>
      <c r="B38" s="559">
        <v>103939874</v>
      </c>
      <c r="C38" s="559">
        <v>64245.3</v>
      </c>
      <c r="D38" s="560">
        <v>1.1000000000000001</v>
      </c>
      <c r="E38" s="560">
        <v>8.7799999999999994</v>
      </c>
    </row>
    <row r="39" spans="1:7" ht="16.5" customHeight="1">
      <c r="A39" s="561" t="s">
        <v>14</v>
      </c>
      <c r="B39" s="562">
        <f>AVERAGE(B33:B38)</f>
        <v>103564603.5</v>
      </c>
      <c r="C39" s="563">
        <f>AVERAGE(C33:C38)</f>
        <v>64223.083333333321</v>
      </c>
      <c r="D39" s="564">
        <f>AVERAGE(D33:D38)</f>
        <v>1.1333333333333335</v>
      </c>
      <c r="E39" s="564">
        <f>AVERAGE(E33:E38)</f>
        <v>8.7766666666666655</v>
      </c>
    </row>
    <row r="40" spans="1:7" ht="16.5" customHeight="1">
      <c r="A40" s="565" t="s">
        <v>15</v>
      </c>
      <c r="B40" s="566">
        <f>(STDEV(B33:B38)/B39)</f>
        <v>2.6654349748227953E-3</v>
      </c>
      <c r="C40" s="567"/>
      <c r="D40" s="567"/>
      <c r="E40" s="568"/>
    </row>
    <row r="41" spans="1:7" s="543" customFormat="1" ht="16.5" customHeight="1">
      <c r="A41" s="569" t="s">
        <v>16</v>
      </c>
      <c r="B41" s="570">
        <f>COUNT(B33:B38)</f>
        <v>6</v>
      </c>
      <c r="C41" s="571"/>
      <c r="D41" s="572"/>
      <c r="E41" s="573"/>
    </row>
    <row r="42" spans="1:7" s="543" customFormat="1" ht="15.75" customHeight="1">
      <c r="A42" s="548"/>
      <c r="B42" s="548"/>
      <c r="C42" s="548"/>
      <c r="D42" s="548"/>
      <c r="E42" s="548"/>
    </row>
    <row r="43" spans="1:7" s="543" customFormat="1" ht="16.5" customHeight="1">
      <c r="A43" s="549" t="s">
        <v>17</v>
      </c>
      <c r="B43" s="574" t="s">
        <v>18</v>
      </c>
      <c r="C43" s="575"/>
      <c r="D43" s="575"/>
      <c r="E43" s="575"/>
    </row>
    <row r="44" spans="1:7" ht="16.5" customHeight="1">
      <c r="A44" s="549"/>
      <c r="B44" s="574" t="s">
        <v>19</v>
      </c>
      <c r="C44" s="575"/>
      <c r="D44" s="575"/>
      <c r="E44" s="575"/>
    </row>
    <row r="45" spans="1:7" ht="16.5" customHeight="1">
      <c r="A45" s="549"/>
      <c r="B45" s="574" t="s">
        <v>20</v>
      </c>
      <c r="C45" s="575"/>
      <c r="D45" s="575"/>
      <c r="E45" s="575"/>
    </row>
    <row r="46" spans="1:7" ht="14.25" customHeight="1" thickBot="1">
      <c r="A46" s="576"/>
      <c r="B46" s="577"/>
      <c r="D46" s="578"/>
      <c r="F46" s="579"/>
      <c r="G46" s="579"/>
    </row>
    <row r="47" spans="1:7" ht="15" customHeight="1">
      <c r="B47" s="672" t="s">
        <v>22</v>
      </c>
      <c r="C47" s="672"/>
      <c r="E47" s="580" t="s">
        <v>23</v>
      </c>
      <c r="F47" s="581"/>
      <c r="G47" s="580" t="s">
        <v>24</v>
      </c>
    </row>
    <row r="48" spans="1:7" ht="15" customHeight="1">
      <c r="A48" s="582" t="s">
        <v>25</v>
      </c>
      <c r="B48" s="583"/>
      <c r="C48" s="583"/>
      <c r="E48" s="583"/>
      <c r="G48" s="583"/>
    </row>
    <row r="49" spans="1:7" ht="15" customHeight="1">
      <c r="A49" s="582" t="s">
        <v>26</v>
      </c>
      <c r="B49" s="584"/>
      <c r="C49" s="584"/>
      <c r="E49" s="584"/>
      <c r="G49" s="585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43" zoomScale="50" zoomScaleNormal="60" zoomScaleSheetLayoutView="50" zoomScalePageLayoutView="41" workbookViewId="0">
      <selection activeCell="F68" sqref="F68:F70"/>
    </sheetView>
  </sheetViews>
  <sheetFormatPr defaultColWidth="9.140625" defaultRowHeight="13.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>
      <c r="A1" s="703" t="s">
        <v>41</v>
      </c>
      <c r="B1" s="703"/>
      <c r="C1" s="703"/>
      <c r="D1" s="703"/>
      <c r="E1" s="703"/>
      <c r="F1" s="703"/>
      <c r="G1" s="703"/>
      <c r="H1" s="703"/>
      <c r="I1" s="703"/>
    </row>
    <row r="2" spans="1:9" ht="18.75" customHeight="1">
      <c r="A2" s="703"/>
      <c r="B2" s="703"/>
      <c r="C2" s="703"/>
      <c r="D2" s="703"/>
      <c r="E2" s="703"/>
      <c r="F2" s="703"/>
      <c r="G2" s="703"/>
      <c r="H2" s="703"/>
      <c r="I2" s="703"/>
    </row>
    <row r="3" spans="1:9" ht="18.75" customHeight="1">
      <c r="A3" s="703"/>
      <c r="B3" s="703"/>
      <c r="C3" s="703"/>
      <c r="D3" s="703"/>
      <c r="E3" s="703"/>
      <c r="F3" s="703"/>
      <c r="G3" s="703"/>
      <c r="H3" s="703"/>
      <c r="I3" s="703"/>
    </row>
    <row r="4" spans="1:9" ht="18.75" customHeight="1">
      <c r="A4" s="703"/>
      <c r="B4" s="703"/>
      <c r="C4" s="703"/>
      <c r="D4" s="703"/>
      <c r="E4" s="703"/>
      <c r="F4" s="703"/>
      <c r="G4" s="703"/>
      <c r="H4" s="703"/>
      <c r="I4" s="703"/>
    </row>
    <row r="5" spans="1:9" ht="18.75" customHeight="1">
      <c r="A5" s="703"/>
      <c r="B5" s="703"/>
      <c r="C5" s="703"/>
      <c r="D5" s="703"/>
      <c r="E5" s="703"/>
      <c r="F5" s="703"/>
      <c r="G5" s="703"/>
      <c r="H5" s="703"/>
      <c r="I5" s="703"/>
    </row>
    <row r="6" spans="1:9" ht="18.75" customHeight="1">
      <c r="A6" s="703"/>
      <c r="B6" s="703"/>
      <c r="C6" s="703"/>
      <c r="D6" s="703"/>
      <c r="E6" s="703"/>
      <c r="F6" s="703"/>
      <c r="G6" s="703"/>
      <c r="H6" s="703"/>
      <c r="I6" s="703"/>
    </row>
    <row r="7" spans="1:9" ht="18.75" customHeight="1">
      <c r="A7" s="703"/>
      <c r="B7" s="703"/>
      <c r="C7" s="703"/>
      <c r="D7" s="703"/>
      <c r="E7" s="703"/>
      <c r="F7" s="703"/>
      <c r="G7" s="703"/>
      <c r="H7" s="703"/>
      <c r="I7" s="703"/>
    </row>
    <row r="8" spans="1:9">
      <c r="A8" s="704" t="s">
        <v>42</v>
      </c>
      <c r="B8" s="704"/>
      <c r="C8" s="704"/>
      <c r="D8" s="704"/>
      <c r="E8" s="704"/>
      <c r="F8" s="704"/>
      <c r="G8" s="704"/>
      <c r="H8" s="704"/>
      <c r="I8" s="704"/>
    </row>
    <row r="9" spans="1:9">
      <c r="A9" s="704"/>
      <c r="B9" s="704"/>
      <c r="C9" s="704"/>
      <c r="D9" s="704"/>
      <c r="E9" s="704"/>
      <c r="F9" s="704"/>
      <c r="G9" s="704"/>
      <c r="H9" s="704"/>
      <c r="I9" s="704"/>
    </row>
    <row r="10" spans="1:9">
      <c r="A10" s="704"/>
      <c r="B10" s="704"/>
      <c r="C10" s="704"/>
      <c r="D10" s="704"/>
      <c r="E10" s="704"/>
      <c r="F10" s="704"/>
      <c r="G10" s="704"/>
      <c r="H10" s="704"/>
      <c r="I10" s="704"/>
    </row>
    <row r="11" spans="1:9">
      <c r="A11" s="704"/>
      <c r="B11" s="704"/>
      <c r="C11" s="704"/>
      <c r="D11" s="704"/>
      <c r="E11" s="704"/>
      <c r="F11" s="704"/>
      <c r="G11" s="704"/>
      <c r="H11" s="704"/>
      <c r="I11" s="704"/>
    </row>
    <row r="12" spans="1:9">
      <c r="A12" s="704"/>
      <c r="B12" s="704"/>
      <c r="C12" s="704"/>
      <c r="D12" s="704"/>
      <c r="E12" s="704"/>
      <c r="F12" s="704"/>
      <c r="G12" s="704"/>
      <c r="H12" s="704"/>
      <c r="I12" s="704"/>
    </row>
    <row r="13" spans="1:9">
      <c r="A13" s="704"/>
      <c r="B13" s="704"/>
      <c r="C13" s="704"/>
      <c r="D13" s="704"/>
      <c r="E13" s="704"/>
      <c r="F13" s="704"/>
      <c r="G13" s="704"/>
      <c r="H13" s="704"/>
      <c r="I13" s="704"/>
    </row>
    <row r="14" spans="1:9">
      <c r="A14" s="704"/>
      <c r="B14" s="704"/>
      <c r="C14" s="704"/>
      <c r="D14" s="704"/>
      <c r="E14" s="704"/>
      <c r="F14" s="704"/>
      <c r="G14" s="704"/>
      <c r="H14" s="704"/>
      <c r="I14" s="704"/>
    </row>
    <row r="15" spans="1:9" ht="19.5" customHeight="1" thickBot="1">
      <c r="A15" s="167"/>
    </row>
    <row r="16" spans="1:9" ht="19.5" customHeight="1" thickBot="1">
      <c r="A16" s="705" t="s">
        <v>27</v>
      </c>
      <c r="B16" s="706"/>
      <c r="C16" s="706"/>
      <c r="D16" s="706"/>
      <c r="E16" s="706"/>
      <c r="F16" s="706"/>
      <c r="G16" s="706"/>
      <c r="H16" s="707"/>
    </row>
    <row r="17" spans="1:14" ht="20.25" customHeight="1">
      <c r="A17" s="708" t="s">
        <v>43</v>
      </c>
      <c r="B17" s="708"/>
      <c r="C17" s="708"/>
      <c r="D17" s="708"/>
      <c r="E17" s="708"/>
      <c r="F17" s="708"/>
      <c r="G17" s="708"/>
      <c r="H17" s="708"/>
    </row>
    <row r="18" spans="1:14" ht="26.25" customHeight="1">
      <c r="A18" s="169" t="s">
        <v>29</v>
      </c>
      <c r="B18" s="709" t="s">
        <v>121</v>
      </c>
      <c r="C18" s="709"/>
      <c r="D18" s="170"/>
      <c r="E18" s="171"/>
      <c r="F18" s="172"/>
      <c r="G18" s="172"/>
      <c r="H18" s="172"/>
    </row>
    <row r="19" spans="1:14" ht="26.25" customHeight="1">
      <c r="A19" s="169" t="s">
        <v>30</v>
      </c>
      <c r="B19" s="173" t="str">
        <f>'Tenofovir Disoproxil Fumarate'!B19</f>
        <v>NDQB201608082</v>
      </c>
      <c r="C19" s="172">
        <v>29</v>
      </c>
      <c r="D19" s="172"/>
      <c r="E19" s="172"/>
      <c r="F19" s="172"/>
      <c r="G19" s="172"/>
      <c r="H19" s="172"/>
    </row>
    <row r="20" spans="1:14" ht="26.25" customHeight="1">
      <c r="A20" s="169" t="s">
        <v>31</v>
      </c>
      <c r="B20" s="710" t="s">
        <v>122</v>
      </c>
      <c r="C20" s="710"/>
      <c r="D20" s="172"/>
      <c r="E20" s="172"/>
      <c r="F20" s="172"/>
      <c r="G20" s="172"/>
      <c r="H20" s="172"/>
    </row>
    <row r="21" spans="1:14" ht="26.25" customHeight="1">
      <c r="A21" s="169" t="s">
        <v>32</v>
      </c>
      <c r="B21" s="710" t="s">
        <v>8</v>
      </c>
      <c r="C21" s="710"/>
      <c r="D21" s="710"/>
      <c r="E21" s="710"/>
      <c r="F21" s="710"/>
      <c r="G21" s="710"/>
      <c r="H21" s="710"/>
      <c r="I21" s="174"/>
    </row>
    <row r="22" spans="1:14" ht="26.25" customHeight="1">
      <c r="A22" s="169" t="s">
        <v>33</v>
      </c>
      <c r="B22" s="175">
        <f>'Tenofovir Disoproxil Fumarate'!B22</f>
        <v>42618</v>
      </c>
      <c r="C22" s="172"/>
      <c r="D22" s="172"/>
      <c r="E22" s="172"/>
      <c r="F22" s="172"/>
      <c r="G22" s="172"/>
      <c r="H22" s="172"/>
    </row>
    <row r="23" spans="1:14" ht="26.25" customHeight="1">
      <c r="A23" s="169" t="s">
        <v>34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>
      <c r="A24" s="169"/>
      <c r="B24" s="176"/>
    </row>
    <row r="25" spans="1:14" ht="18.75">
      <c r="A25" s="177" t="s">
        <v>1</v>
      </c>
      <c r="B25" s="176"/>
    </row>
    <row r="26" spans="1:14" ht="26.25" customHeight="1">
      <c r="A26" s="178" t="s">
        <v>4</v>
      </c>
      <c r="B26" s="709" t="s">
        <v>125</v>
      </c>
      <c r="C26" s="709"/>
    </row>
    <row r="27" spans="1:14" ht="26.25" customHeight="1">
      <c r="A27" s="179" t="s">
        <v>44</v>
      </c>
      <c r="B27" s="711" t="s">
        <v>131</v>
      </c>
      <c r="C27" s="711"/>
    </row>
    <row r="28" spans="1:14" ht="27" customHeight="1" thickBot="1">
      <c r="A28" s="179" t="s">
        <v>5</v>
      </c>
      <c r="B28" s="180">
        <v>100</v>
      </c>
    </row>
    <row r="29" spans="1:14" s="182" customFormat="1" ht="27" customHeight="1" thickBot="1">
      <c r="A29" s="179" t="s">
        <v>45</v>
      </c>
      <c r="B29" s="181">
        <v>0</v>
      </c>
      <c r="C29" s="692" t="s">
        <v>46</v>
      </c>
      <c r="D29" s="693"/>
      <c r="E29" s="693"/>
      <c r="F29" s="693"/>
      <c r="G29" s="694"/>
      <c r="I29" s="183"/>
      <c r="J29" s="183"/>
      <c r="K29" s="183"/>
      <c r="L29" s="183"/>
    </row>
    <row r="30" spans="1:14" s="182" customFormat="1" ht="19.5" customHeight="1" thickBot="1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>
      <c r="A31" s="179" t="s">
        <v>48</v>
      </c>
      <c r="B31" s="187">
        <v>1</v>
      </c>
      <c r="C31" s="695" t="s">
        <v>49</v>
      </c>
      <c r="D31" s="696"/>
      <c r="E31" s="696"/>
      <c r="F31" s="696"/>
      <c r="G31" s="696"/>
      <c r="H31" s="697"/>
      <c r="I31" s="183"/>
      <c r="J31" s="183"/>
      <c r="K31" s="183"/>
      <c r="L31" s="183"/>
    </row>
    <row r="32" spans="1:14" s="182" customFormat="1" ht="27" customHeight="1" thickBot="1">
      <c r="A32" s="179" t="s">
        <v>50</v>
      </c>
      <c r="B32" s="187">
        <v>1</v>
      </c>
      <c r="C32" s="695" t="s">
        <v>51</v>
      </c>
      <c r="D32" s="696"/>
      <c r="E32" s="696"/>
      <c r="F32" s="696"/>
      <c r="G32" s="696"/>
      <c r="H32" s="697"/>
      <c r="I32" s="183"/>
      <c r="J32" s="183"/>
      <c r="K32" s="183"/>
      <c r="L32" s="188"/>
      <c r="M32" s="188"/>
      <c r="N32" s="189"/>
    </row>
    <row r="33" spans="1:14" s="182" customFormat="1" ht="17.25" customHeight="1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>
      <c r="A36" s="193" t="s">
        <v>54</v>
      </c>
      <c r="B36" s="194">
        <v>50</v>
      </c>
      <c r="C36" s="167"/>
      <c r="D36" s="682" t="s">
        <v>55</v>
      </c>
      <c r="E36" s="702"/>
      <c r="F36" s="682" t="s">
        <v>56</v>
      </c>
      <c r="G36" s="683"/>
      <c r="J36" s="183"/>
      <c r="K36" s="183"/>
      <c r="L36" s="188"/>
      <c r="M36" s="188"/>
      <c r="N36" s="189"/>
    </row>
    <row r="37" spans="1:14" s="182" customFormat="1" ht="27" customHeight="1" thickBot="1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>
      <c r="A38" s="195" t="s">
        <v>62</v>
      </c>
      <c r="B38" s="196">
        <v>25</v>
      </c>
      <c r="C38" s="202">
        <v>1</v>
      </c>
      <c r="D38" s="203">
        <v>21811529</v>
      </c>
      <c r="E38" s="204">
        <f>IF(ISBLANK(D38),"-",$D$48/$D$45*D38)</f>
        <v>22927325.508058865</v>
      </c>
      <c r="F38" s="203">
        <v>24005240</v>
      </c>
      <c r="G38" s="205">
        <f>IF(ISBLANK(F38),"-",$D$48/$F$45*F38)</f>
        <v>22978851.308232293</v>
      </c>
      <c r="I38" s="206"/>
      <c r="J38" s="183"/>
      <c r="K38" s="183"/>
      <c r="L38" s="188"/>
      <c r="M38" s="188"/>
      <c r="N38" s="189"/>
    </row>
    <row r="39" spans="1:14" s="182" customFormat="1" ht="26.25" customHeight="1">
      <c r="A39" s="195" t="s">
        <v>63</v>
      </c>
      <c r="B39" s="196">
        <v>1</v>
      </c>
      <c r="C39" s="207">
        <v>2</v>
      </c>
      <c r="D39" s="208">
        <v>22128561</v>
      </c>
      <c r="E39" s="209">
        <f>IF(ISBLANK(D39),"-",$D$48/$D$45*D39)</f>
        <v>23260575.683251578</v>
      </c>
      <c r="F39" s="208">
        <v>24251570</v>
      </c>
      <c r="G39" s="210">
        <f>IF(ISBLANK(F39),"-",$D$48/$F$45*F39)</f>
        <v>23214649.010848757</v>
      </c>
      <c r="I39" s="673">
        <f>ABS((F43/D43*D42)-F42)/D42</f>
        <v>1.228411257941353E-3</v>
      </c>
      <c r="J39" s="183"/>
      <c r="K39" s="183"/>
      <c r="L39" s="188"/>
      <c r="M39" s="188"/>
      <c r="N39" s="189"/>
    </row>
    <row r="40" spans="1:14" ht="26.25" customHeight="1">
      <c r="A40" s="195" t="s">
        <v>64</v>
      </c>
      <c r="B40" s="196">
        <v>1</v>
      </c>
      <c r="C40" s="207">
        <v>3</v>
      </c>
      <c r="D40" s="208">
        <v>21940691</v>
      </c>
      <c r="E40" s="209">
        <f>IF(ISBLANK(D40),"-",$D$48/$D$45*D40)</f>
        <v>23063094.954449896</v>
      </c>
      <c r="F40" s="208">
        <v>24168326</v>
      </c>
      <c r="G40" s="210">
        <f>IF(ISBLANK(F40),"-",$D$48/$F$45*F40)</f>
        <v>23134964.262922782</v>
      </c>
      <c r="I40" s="673"/>
      <c r="L40" s="188"/>
      <c r="M40" s="188"/>
      <c r="N40" s="167"/>
    </row>
    <row r="41" spans="1:14" ht="27" customHeight="1" thickBot="1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>
      <c r="A42" s="195" t="s">
        <v>66</v>
      </c>
      <c r="B42" s="196">
        <v>1</v>
      </c>
      <c r="C42" s="216" t="s">
        <v>67</v>
      </c>
      <c r="D42" s="217">
        <f>AVERAGE(D38:D41)</f>
        <v>21960260.333333332</v>
      </c>
      <c r="E42" s="218">
        <f>AVERAGE(E38:E41)</f>
        <v>23083665.381920114</v>
      </c>
      <c r="F42" s="217">
        <f>AVERAGE(F38:F41)</f>
        <v>24141712</v>
      </c>
      <c r="G42" s="219">
        <f>AVERAGE(G38:G41)</f>
        <v>23109488.194001276</v>
      </c>
      <c r="H42" s="220"/>
    </row>
    <row r="43" spans="1:14" ht="26.25" customHeight="1">
      <c r="A43" s="195" t="s">
        <v>68</v>
      </c>
      <c r="B43" s="196">
        <v>1</v>
      </c>
      <c r="C43" s="221" t="s">
        <v>69</v>
      </c>
      <c r="D43" s="222">
        <v>14.27</v>
      </c>
      <c r="E43" s="167"/>
      <c r="F43" s="222">
        <v>15.67</v>
      </c>
      <c r="H43" s="220"/>
    </row>
    <row r="44" spans="1:14" ht="26.25" customHeight="1">
      <c r="A44" s="195" t="s">
        <v>70</v>
      </c>
      <c r="B44" s="196">
        <v>1</v>
      </c>
      <c r="C44" s="223" t="s">
        <v>71</v>
      </c>
      <c r="D44" s="224">
        <f>D43*$B$34</f>
        <v>14.27</v>
      </c>
      <c r="E44" s="225"/>
      <c r="F44" s="224">
        <f>F43*$B$34</f>
        <v>15.67</v>
      </c>
      <c r="H44" s="220"/>
    </row>
    <row r="45" spans="1:14" ht="19.5" customHeight="1" thickBot="1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14.27</v>
      </c>
      <c r="E45" s="227"/>
      <c r="F45" s="226">
        <f>F44*$B$30/100</f>
        <v>15.67</v>
      </c>
      <c r="H45" s="220"/>
    </row>
    <row r="46" spans="1:14" ht="19.5" customHeight="1" thickBot="1">
      <c r="A46" s="674" t="s">
        <v>74</v>
      </c>
      <c r="B46" s="678"/>
      <c r="C46" s="223" t="s">
        <v>75</v>
      </c>
      <c r="D46" s="228">
        <f>D45/$B$45</f>
        <v>0.11416</v>
      </c>
      <c r="E46" s="229"/>
      <c r="F46" s="230">
        <f>F45/$B$45</f>
        <v>0.12536</v>
      </c>
      <c r="H46" s="220"/>
    </row>
    <row r="47" spans="1:14" ht="27" customHeight="1" thickBot="1">
      <c r="A47" s="676"/>
      <c r="B47" s="679"/>
      <c r="C47" s="231" t="s">
        <v>76</v>
      </c>
      <c r="D47" s="232">
        <v>0.12</v>
      </c>
      <c r="E47" s="233"/>
      <c r="F47" s="229"/>
      <c r="H47" s="220"/>
    </row>
    <row r="48" spans="1:14" ht="18.75">
      <c r="C48" s="234" t="s">
        <v>77</v>
      </c>
      <c r="D48" s="226">
        <f>D47*$B$45</f>
        <v>15</v>
      </c>
      <c r="F48" s="235"/>
      <c r="H48" s="220"/>
    </row>
    <row r="49" spans="1:12" ht="19.5" customHeight="1" thickBot="1">
      <c r="C49" s="236" t="s">
        <v>78</v>
      </c>
      <c r="D49" s="237">
        <f>D48/B34</f>
        <v>15</v>
      </c>
      <c r="F49" s="235"/>
      <c r="H49" s="220"/>
    </row>
    <row r="50" spans="1:12" ht="18.75">
      <c r="C50" s="193" t="s">
        <v>79</v>
      </c>
      <c r="D50" s="238">
        <f>AVERAGE(E38:E41,G38:G41)</f>
        <v>23096576.787960697</v>
      </c>
      <c r="F50" s="239"/>
      <c r="H50" s="220"/>
    </row>
    <row r="51" spans="1:12" ht="18.75">
      <c r="C51" s="195" t="s">
        <v>80</v>
      </c>
      <c r="D51" s="240">
        <f>STDEV(E38:E41,G38:G41)/D50</f>
        <v>5.6761841019706957E-3</v>
      </c>
      <c r="F51" s="239"/>
      <c r="H51" s="220"/>
    </row>
    <row r="52" spans="1:12" ht="19.5" customHeight="1" thickBot="1">
      <c r="C52" s="241" t="s">
        <v>16</v>
      </c>
      <c r="D52" s="242">
        <f>COUNT(E38:E41,G38:G41)</f>
        <v>6</v>
      </c>
      <c r="F52" s="239"/>
    </row>
    <row r="54" spans="1:12" ht="18.75">
      <c r="A54" s="243" t="s">
        <v>1</v>
      </c>
      <c r="B54" s="244" t="s">
        <v>81</v>
      </c>
    </row>
    <row r="55" spans="1:12" ht="18.75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>
      <c r="A57" s="245" t="s">
        <v>84</v>
      </c>
      <c r="B57" s="247">
        <f>'Tenofovir Disoproxil Fumarate'!B57</f>
        <v>1897.7329999999997</v>
      </c>
      <c r="H57" s="225"/>
    </row>
    <row r="58" spans="1:12" ht="19.5" customHeight="1" thickBot="1">
      <c r="H58" s="225"/>
    </row>
    <row r="59" spans="1:12" s="182" customFormat="1" ht="27" customHeight="1" thickBot="1">
      <c r="A59" s="193" t="s">
        <v>85</v>
      </c>
      <c r="B59" s="194">
        <v>100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>
      <c r="A60" s="195" t="s">
        <v>89</v>
      </c>
      <c r="B60" s="196">
        <v>4</v>
      </c>
      <c r="C60" s="684" t="s">
        <v>90</v>
      </c>
      <c r="D60" s="687">
        <f>'Tenofovir Disoproxil Fumarate'!D60:D63</f>
        <v>949.55</v>
      </c>
      <c r="E60" s="250">
        <v>1</v>
      </c>
      <c r="F60" s="251">
        <v>21802651</v>
      </c>
      <c r="G60" s="252">
        <f>IF(ISBLANK(F60),"-",(F60/$D$50*$D$47*$B$68)*($B$57/$D$60))</f>
        <v>282.98943171239358</v>
      </c>
      <c r="H60" s="253">
        <f t="shared" ref="H60:H71" si="0">IF(ISBLANK(F60),"-",G60/$B$56)</f>
        <v>0.94329810570797856</v>
      </c>
      <c r="L60" s="183"/>
    </row>
    <row r="61" spans="1:12" s="182" customFormat="1" ht="26.25" customHeight="1">
      <c r="A61" s="195" t="s">
        <v>91</v>
      </c>
      <c r="B61" s="196">
        <v>50</v>
      </c>
      <c r="C61" s="685"/>
      <c r="D61" s="688"/>
      <c r="E61" s="254">
        <v>2</v>
      </c>
      <c r="F61" s="208">
        <v>21959950</v>
      </c>
      <c r="G61" s="255">
        <f>IF(ISBLANK(F61),"-",(F61/$D$50*$D$47*$B$68)*($B$57/$D$60))</f>
        <v>285.03110795712769</v>
      </c>
      <c r="H61" s="256">
        <f t="shared" si="0"/>
        <v>0.95010369319042565</v>
      </c>
      <c r="L61" s="183"/>
    </row>
    <row r="62" spans="1:12" s="182" customFormat="1" ht="26.25" customHeight="1">
      <c r="A62" s="195" t="s">
        <v>92</v>
      </c>
      <c r="B62" s="196">
        <v>1</v>
      </c>
      <c r="C62" s="685"/>
      <c r="D62" s="688"/>
      <c r="E62" s="254">
        <v>3</v>
      </c>
      <c r="F62" s="257">
        <v>21829518</v>
      </c>
      <c r="G62" s="255">
        <f>IF(ISBLANK(F62),"-",(F62/$D$50*$D$47*$B$68)*($B$57/$D$60))</f>
        <v>283.33815430864195</v>
      </c>
      <c r="H62" s="256">
        <f t="shared" si="0"/>
        <v>0.94446051436213985</v>
      </c>
      <c r="L62" s="183"/>
    </row>
    <row r="63" spans="1:12" ht="27" customHeight="1" thickBot="1">
      <c r="A63" s="195" t="s">
        <v>93</v>
      </c>
      <c r="B63" s="196">
        <v>1</v>
      </c>
      <c r="C63" s="686"/>
      <c r="D63" s="689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>
      <c r="A64" s="195" t="s">
        <v>94</v>
      </c>
      <c r="B64" s="196">
        <v>1</v>
      </c>
      <c r="C64" s="684" t="s">
        <v>95</v>
      </c>
      <c r="D64" s="687">
        <f>'Tenofovir Disoproxil Fumarate'!D64:D67</f>
        <v>943.45</v>
      </c>
      <c r="E64" s="250">
        <v>1</v>
      </c>
      <c r="F64" s="251">
        <v>21628380</v>
      </c>
      <c r="G64" s="260">
        <f>IF(ISBLANK(F64),"-",(F64/$D$50*$D$47*$B$68)*($B$57/$D$64))</f>
        <v>282.54254623158806</v>
      </c>
      <c r="H64" s="261">
        <f t="shared" si="0"/>
        <v>0.94180848743862688</v>
      </c>
    </row>
    <row r="65" spans="1:8" ht="26.25" customHeight="1">
      <c r="A65" s="195" t="s">
        <v>96</v>
      </c>
      <c r="B65" s="196">
        <v>1</v>
      </c>
      <c r="C65" s="685"/>
      <c r="D65" s="688"/>
      <c r="E65" s="254">
        <v>2</v>
      </c>
      <c r="F65" s="208">
        <v>22079509</v>
      </c>
      <c r="G65" s="262">
        <f>IF(ISBLANK(F65),"-",(F65/$D$50*$D$47*$B$68)*($B$57/$D$64))</f>
        <v>288.43587418027914</v>
      </c>
      <c r="H65" s="263">
        <f t="shared" si="0"/>
        <v>0.9614529139342638</v>
      </c>
    </row>
    <row r="66" spans="1:8" ht="26.25" customHeight="1">
      <c r="A66" s="195" t="s">
        <v>97</v>
      </c>
      <c r="B66" s="196">
        <v>1</v>
      </c>
      <c r="C66" s="685"/>
      <c r="D66" s="688"/>
      <c r="E66" s="254">
        <v>3</v>
      </c>
      <c r="F66" s="208">
        <v>22331401</v>
      </c>
      <c r="G66" s="262">
        <f>IF(ISBLANK(F66),"-",(F66/$D$50*$D$47*$B$68)*($B$57/$D$64))</f>
        <v>291.72646769932061</v>
      </c>
      <c r="H66" s="263">
        <f t="shared" si="0"/>
        <v>0.97242155899773541</v>
      </c>
    </row>
    <row r="67" spans="1:8" ht="27" customHeight="1" thickBot="1">
      <c r="A67" s="195" t="s">
        <v>98</v>
      </c>
      <c r="B67" s="196">
        <v>1</v>
      </c>
      <c r="C67" s="686"/>
      <c r="D67" s="689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>
      <c r="A68" s="195" t="s">
        <v>99</v>
      </c>
      <c r="B68" s="266">
        <f>(B67/B66)*(B65/B64)*(B63/B62)*(B61/B60)*B59</f>
        <v>1250</v>
      </c>
      <c r="C68" s="684" t="s">
        <v>100</v>
      </c>
      <c r="D68" s="687">
        <f>'Tenofovir Disoproxil Fumarate'!D68:D71</f>
        <v>951.97</v>
      </c>
      <c r="E68" s="250">
        <v>1</v>
      </c>
      <c r="F68" s="251"/>
      <c r="G68" s="260" t="str">
        <f>IF(ISBLANK(F68),"-",(F68/$D$50*$D$47*$B$68)*($B$57/$D$68))</f>
        <v>-</v>
      </c>
      <c r="H68" s="256" t="str">
        <f t="shared" si="0"/>
        <v>-</v>
      </c>
    </row>
    <row r="69" spans="1:8" ht="27" customHeight="1" thickBot="1">
      <c r="A69" s="241" t="s">
        <v>101</v>
      </c>
      <c r="B69" s="267">
        <f>(D47*B68)/B56*B57</f>
        <v>948.86649999999986</v>
      </c>
      <c r="C69" s="685"/>
      <c r="D69" s="688"/>
      <c r="E69" s="254">
        <v>2</v>
      </c>
      <c r="F69" s="208"/>
      <c r="G69" s="262" t="str">
        <f>IF(ISBLANK(F69),"-",(F69/$D$50*$D$47*$B$68)*($B$57/$D$68))</f>
        <v>-</v>
      </c>
      <c r="H69" s="256" t="str">
        <f t="shared" si="0"/>
        <v>-</v>
      </c>
    </row>
    <row r="70" spans="1:8" ht="26.25" customHeight="1">
      <c r="A70" s="698" t="s">
        <v>74</v>
      </c>
      <c r="B70" s="699"/>
      <c r="C70" s="685"/>
      <c r="D70" s="688"/>
      <c r="E70" s="254">
        <v>3</v>
      </c>
      <c r="F70" s="208"/>
      <c r="G70" s="262" t="str">
        <f>IF(ISBLANK(F70),"-",(F70/$D$50*$D$47*$B$68)*($B$57/$D$68))</f>
        <v>-</v>
      </c>
      <c r="H70" s="256" t="str">
        <f t="shared" si="0"/>
        <v>-</v>
      </c>
    </row>
    <row r="71" spans="1:8" ht="27" customHeight="1" thickBot="1">
      <c r="A71" s="700"/>
      <c r="B71" s="701"/>
      <c r="C71" s="690"/>
      <c r="D71" s="689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>
      <c r="A72" s="225"/>
      <c r="B72" s="225"/>
      <c r="C72" s="225"/>
      <c r="D72" s="225"/>
      <c r="E72" s="225"/>
      <c r="F72" s="269" t="s">
        <v>67</v>
      </c>
      <c r="G72" s="270">
        <f>AVERAGE(G60:G71)</f>
        <v>285.67726368155849</v>
      </c>
      <c r="H72" s="271">
        <f>AVERAGE(H60:H71)</f>
        <v>0.95225754560519515</v>
      </c>
    </row>
    <row r="73" spans="1:8" ht="26.25" customHeight="1">
      <c r="C73" s="225"/>
      <c r="D73" s="225"/>
      <c r="E73" s="225"/>
      <c r="F73" s="272" t="s">
        <v>80</v>
      </c>
      <c r="G73" s="273">
        <f>STDEV(G60:G71)/G72</f>
        <v>1.2827397232279648E-2</v>
      </c>
      <c r="H73" s="273">
        <f>STDEV(H60:H71)/H72</f>
        <v>1.2827397232284321E-2</v>
      </c>
    </row>
    <row r="74" spans="1:8" ht="27" customHeight="1" thickBot="1">
      <c r="A74" s="225"/>
      <c r="B74" s="225"/>
      <c r="C74" s="225"/>
      <c r="D74" s="225"/>
      <c r="E74" s="227"/>
      <c r="F74" s="274" t="s">
        <v>16</v>
      </c>
      <c r="G74" s="275">
        <f>COUNT(G60:G71)</f>
        <v>6</v>
      </c>
      <c r="H74" s="275">
        <f>COUNT(H60:H71)</f>
        <v>6</v>
      </c>
    </row>
    <row r="76" spans="1:8" ht="26.25" customHeight="1">
      <c r="A76" s="178" t="s">
        <v>102</v>
      </c>
      <c r="B76" s="179" t="s">
        <v>103</v>
      </c>
      <c r="C76" s="680" t="str">
        <f>B20</f>
        <v xml:space="preserve">Tenofovir Disoproxil Fumarate 300mg, Lamivudine 300mg &amp; Efavirenz 600mg </v>
      </c>
      <c r="D76" s="680"/>
      <c r="E76" s="167" t="s">
        <v>104</v>
      </c>
      <c r="F76" s="167"/>
      <c r="G76" s="276">
        <f>H72</f>
        <v>0.95225754560519515</v>
      </c>
      <c r="H76" s="184"/>
    </row>
    <row r="77" spans="1:8" ht="18.75">
      <c r="A77" s="177" t="s">
        <v>105</v>
      </c>
      <c r="B77" s="177" t="s">
        <v>106</v>
      </c>
    </row>
    <row r="78" spans="1:8" ht="18.75">
      <c r="A78" s="177"/>
      <c r="B78" s="177"/>
    </row>
    <row r="79" spans="1:8" ht="26.25" customHeight="1">
      <c r="A79" s="178" t="s">
        <v>4</v>
      </c>
      <c r="B79" s="691" t="str">
        <f>B26</f>
        <v>Lamivudine</v>
      </c>
      <c r="C79" s="691"/>
    </row>
    <row r="80" spans="1:8" ht="26.25" customHeight="1">
      <c r="A80" s="179" t="s">
        <v>44</v>
      </c>
      <c r="B80" s="691" t="str">
        <f>B27</f>
        <v>L3-10</v>
      </c>
      <c r="C80" s="691"/>
    </row>
    <row r="81" spans="1:12" ht="27" customHeight="1" thickBot="1">
      <c r="A81" s="179" t="s">
        <v>5</v>
      </c>
      <c r="B81" s="180">
        <v>100</v>
      </c>
    </row>
    <row r="82" spans="1:12" s="182" customFormat="1" ht="27" customHeight="1" thickBot="1">
      <c r="A82" s="179" t="s">
        <v>45</v>
      </c>
      <c r="B82" s="181">
        <v>0</v>
      </c>
      <c r="C82" s="692" t="s">
        <v>46</v>
      </c>
      <c r="D82" s="693"/>
      <c r="E82" s="693"/>
      <c r="F82" s="693"/>
      <c r="G82" s="694"/>
      <c r="I82" s="183"/>
      <c r="J82" s="183"/>
      <c r="K82" s="183"/>
      <c r="L82" s="183"/>
    </row>
    <row r="83" spans="1:12" s="182" customFormat="1" ht="19.5" customHeight="1" thickBot="1">
      <c r="A83" s="179" t="s">
        <v>47</v>
      </c>
      <c r="B83" s="184">
        <f>B81-B82</f>
        <v>100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>
      <c r="A84" s="179" t="s">
        <v>48</v>
      </c>
      <c r="B84" s="187">
        <v>1</v>
      </c>
      <c r="C84" s="695" t="s">
        <v>107</v>
      </c>
      <c r="D84" s="696"/>
      <c r="E84" s="696"/>
      <c r="F84" s="696"/>
      <c r="G84" s="696"/>
      <c r="H84" s="697"/>
      <c r="I84" s="183"/>
      <c r="J84" s="183"/>
      <c r="K84" s="183"/>
      <c r="L84" s="183"/>
    </row>
    <row r="85" spans="1:12" s="182" customFormat="1" ht="27" customHeight="1" thickBot="1">
      <c r="A85" s="179" t="s">
        <v>50</v>
      </c>
      <c r="B85" s="187">
        <v>1</v>
      </c>
      <c r="C85" s="695" t="s">
        <v>108</v>
      </c>
      <c r="D85" s="696"/>
      <c r="E85" s="696"/>
      <c r="F85" s="696"/>
      <c r="G85" s="696"/>
      <c r="H85" s="697"/>
      <c r="I85" s="183"/>
      <c r="J85" s="183"/>
      <c r="K85" s="183"/>
      <c r="L85" s="183"/>
    </row>
    <row r="86" spans="1:12" s="182" customFormat="1" ht="18.75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>
      <c r="A88" s="177"/>
      <c r="B88" s="177"/>
    </row>
    <row r="89" spans="1:12" ht="27" customHeight="1" thickBot="1">
      <c r="A89" s="193" t="s">
        <v>54</v>
      </c>
      <c r="B89" s="194">
        <v>50</v>
      </c>
      <c r="D89" s="277" t="s">
        <v>55</v>
      </c>
      <c r="E89" s="278"/>
      <c r="F89" s="682" t="s">
        <v>56</v>
      </c>
      <c r="G89" s="683"/>
    </row>
    <row r="90" spans="1:12" ht="27" customHeight="1" thickBot="1">
      <c r="A90" s="195" t="s">
        <v>57</v>
      </c>
      <c r="B90" s="196">
        <v>1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>
      <c r="A91" s="195" t="s">
        <v>62</v>
      </c>
      <c r="B91" s="196">
        <v>1</v>
      </c>
      <c r="C91" s="281">
        <v>1</v>
      </c>
      <c r="D91" s="203">
        <v>103252926</v>
      </c>
      <c r="E91" s="204">
        <f>IF(ISBLANK(D91),"-",$D$101/$D$98*D91)</f>
        <v>105791932.37704918</v>
      </c>
      <c r="F91" s="203">
        <v>107573142</v>
      </c>
      <c r="G91" s="205">
        <f>IF(ISBLANK(F91),"-",$D$101/$F$98*F91)</f>
        <v>106931552.68389663</v>
      </c>
      <c r="I91" s="206"/>
    </row>
    <row r="92" spans="1:12" ht="26.25" customHeight="1">
      <c r="A92" s="195" t="s">
        <v>63</v>
      </c>
      <c r="B92" s="196">
        <v>1</v>
      </c>
      <c r="C92" s="225">
        <v>2</v>
      </c>
      <c r="D92" s="208">
        <v>103521497</v>
      </c>
      <c r="E92" s="209">
        <f>IF(ISBLANK(D92),"-",$D$101/$D$98*D92)</f>
        <v>106067107.5819672</v>
      </c>
      <c r="F92" s="208">
        <v>107844690</v>
      </c>
      <c r="G92" s="210">
        <f>IF(ISBLANK(F92),"-",$D$101/$F$98*F92)</f>
        <v>107201481.11332008</v>
      </c>
      <c r="I92" s="673">
        <f>ABS((F96/D96*D95)-F95)/D95</f>
        <v>1.2287460220186558E-2</v>
      </c>
    </row>
    <row r="93" spans="1:12" ht="26.25" customHeight="1">
      <c r="A93" s="195" t="s">
        <v>64</v>
      </c>
      <c r="B93" s="196">
        <v>1</v>
      </c>
      <c r="C93" s="225">
        <v>3</v>
      </c>
      <c r="D93" s="208">
        <v>102864528</v>
      </c>
      <c r="E93" s="209">
        <f>IF(ISBLANK(D93),"-",$D$101/$D$98*D93)</f>
        <v>105393983.60655737</v>
      </c>
      <c r="F93" s="208">
        <v>107543386</v>
      </c>
      <c r="G93" s="210">
        <f>IF(ISBLANK(F93),"-",$D$101/$F$98*F93)</f>
        <v>106901974.15506959</v>
      </c>
      <c r="I93" s="673"/>
    </row>
    <row r="94" spans="1:12" ht="27" customHeight="1" thickBot="1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>
      <c r="A95" s="195" t="s">
        <v>66</v>
      </c>
      <c r="B95" s="196">
        <v>1</v>
      </c>
      <c r="C95" s="179" t="s">
        <v>67</v>
      </c>
      <c r="D95" s="284">
        <f>AVERAGE(D91:D94)</f>
        <v>103212983.66666667</v>
      </c>
      <c r="E95" s="218">
        <f>AVERAGE(E91:E94)</f>
        <v>105751007.85519125</v>
      </c>
      <c r="F95" s="285">
        <f>AVERAGE(F91:F94)</f>
        <v>107653739.33333333</v>
      </c>
      <c r="G95" s="286">
        <f>AVERAGE(G91:G94)</f>
        <v>107011669.31742877</v>
      </c>
    </row>
    <row r="96" spans="1:12" ht="26.25" customHeight="1">
      <c r="A96" s="195" t="s">
        <v>68</v>
      </c>
      <c r="B96" s="180">
        <v>1</v>
      </c>
      <c r="C96" s="287" t="s">
        <v>109</v>
      </c>
      <c r="D96" s="288">
        <v>14.64</v>
      </c>
      <c r="E96" s="167"/>
      <c r="F96" s="222">
        <v>15.09</v>
      </c>
    </row>
    <row r="97" spans="1:10" ht="26.25" customHeight="1">
      <c r="A97" s="195" t="s">
        <v>70</v>
      </c>
      <c r="B97" s="180">
        <v>1</v>
      </c>
      <c r="C97" s="289" t="s">
        <v>110</v>
      </c>
      <c r="D97" s="290">
        <f>D96*$B$87</f>
        <v>14.64</v>
      </c>
      <c r="E97" s="225"/>
      <c r="F97" s="224">
        <f>F96*$B$87</f>
        <v>15.09</v>
      </c>
    </row>
    <row r="98" spans="1:10" ht="19.5" customHeight="1" thickBot="1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14.64</v>
      </c>
      <c r="E98" s="227"/>
      <c r="F98" s="226">
        <f>F97*$B$83/100</f>
        <v>15.09</v>
      </c>
    </row>
    <row r="99" spans="1:10" ht="19.5" customHeight="1" thickBot="1">
      <c r="A99" s="674" t="s">
        <v>74</v>
      </c>
      <c r="B99" s="675"/>
      <c r="C99" s="289" t="s">
        <v>112</v>
      </c>
      <c r="D99" s="292">
        <f>D98/$B$98</f>
        <v>0.2928</v>
      </c>
      <c r="E99" s="227"/>
      <c r="F99" s="230">
        <f>F98/$B$98</f>
        <v>0.30180000000000001</v>
      </c>
      <c r="H99" s="220"/>
    </row>
    <row r="100" spans="1:10" ht="19.5" customHeight="1" thickBot="1">
      <c r="A100" s="676"/>
      <c r="B100" s="677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>
      <c r="C103" s="298" t="s">
        <v>113</v>
      </c>
      <c r="D103" s="299">
        <f>AVERAGE(E91:E94,G91:G94)</f>
        <v>106381338.58631001</v>
      </c>
      <c r="F103" s="239"/>
      <c r="G103" s="294"/>
      <c r="H103" s="220"/>
      <c r="J103" s="300"/>
    </row>
    <row r="104" spans="1:10" ht="18.75">
      <c r="C104" s="272" t="s">
        <v>80</v>
      </c>
      <c r="D104" s="301">
        <f>STDEV(E91:E94,G91:G94)/D103</f>
        <v>6.8658923300117065E-3</v>
      </c>
      <c r="F104" s="239"/>
      <c r="H104" s="220"/>
      <c r="J104" s="300"/>
    </row>
    <row r="105" spans="1:10" ht="19.5" customHeight="1" thickBot="1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>
      <c r="A106" s="243"/>
      <c r="B106" s="243"/>
      <c r="C106" s="243"/>
      <c r="D106" s="243"/>
      <c r="E106" s="243"/>
    </row>
    <row r="107" spans="1:10" ht="26.25" customHeight="1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>
      <c r="A108" s="195" t="s">
        <v>118</v>
      </c>
      <c r="B108" s="196">
        <v>1</v>
      </c>
      <c r="C108" s="306">
        <v>1</v>
      </c>
      <c r="D108" s="307">
        <v>106212940</v>
      </c>
      <c r="E108" s="308">
        <f t="shared" ref="E108:E113" si="1">IF(ISBLANK(D108),"-",D108/$D$103*$D$100*$B$116)</f>
        <v>299.52510866506896</v>
      </c>
      <c r="F108" s="309">
        <f t="shared" ref="F108:F113" si="2">IF(ISBLANK(D108), "-", E108/$B$56)</f>
        <v>0.99841702888356321</v>
      </c>
    </row>
    <row r="109" spans="1:10" ht="26.25" customHeight="1">
      <c r="A109" s="195" t="s">
        <v>91</v>
      </c>
      <c r="B109" s="196">
        <v>1</v>
      </c>
      <c r="C109" s="306">
        <v>2</v>
      </c>
      <c r="D109" s="307">
        <v>108167821</v>
      </c>
      <c r="E109" s="310">
        <f t="shared" si="1"/>
        <v>305.03795807825981</v>
      </c>
      <c r="F109" s="311">
        <f t="shared" si="2"/>
        <v>1.0167931935941994</v>
      </c>
    </row>
    <row r="110" spans="1:10" ht="26.25" customHeight="1">
      <c r="A110" s="195" t="s">
        <v>92</v>
      </c>
      <c r="B110" s="196">
        <v>1</v>
      </c>
      <c r="C110" s="306">
        <v>3</v>
      </c>
      <c r="D110" s="307">
        <v>107875227</v>
      </c>
      <c r="E110" s="310">
        <f t="shared" si="1"/>
        <v>304.21283027702634</v>
      </c>
      <c r="F110" s="311">
        <f t="shared" si="2"/>
        <v>1.0140427675900878</v>
      </c>
    </row>
    <row r="111" spans="1:10" ht="26.25" customHeight="1">
      <c r="A111" s="195" t="s">
        <v>93</v>
      </c>
      <c r="B111" s="196">
        <v>1</v>
      </c>
      <c r="C111" s="306">
        <v>4</v>
      </c>
      <c r="D111" s="307">
        <v>108571151</v>
      </c>
      <c r="E111" s="310">
        <f t="shared" si="1"/>
        <v>306.17536621400939</v>
      </c>
      <c r="F111" s="311">
        <f t="shared" si="2"/>
        <v>1.020584554046698</v>
      </c>
    </row>
    <row r="112" spans="1:10" ht="26.25" customHeight="1">
      <c r="A112" s="195" t="s">
        <v>94</v>
      </c>
      <c r="B112" s="196">
        <v>1</v>
      </c>
      <c r="C112" s="306">
        <v>5</v>
      </c>
      <c r="D112" s="307">
        <v>106030326</v>
      </c>
      <c r="E112" s="310">
        <f t="shared" si="1"/>
        <v>299.01012924548257</v>
      </c>
      <c r="F112" s="311">
        <f t="shared" si="2"/>
        <v>0.9967004308182752</v>
      </c>
    </row>
    <row r="113" spans="1:10" ht="26.25" customHeight="1">
      <c r="A113" s="195" t="s">
        <v>96</v>
      </c>
      <c r="B113" s="196">
        <v>1</v>
      </c>
      <c r="C113" s="312">
        <v>6</v>
      </c>
      <c r="D113" s="313">
        <v>106214506</v>
      </c>
      <c r="E113" s="314">
        <f t="shared" si="1"/>
        <v>299.52952485315461</v>
      </c>
      <c r="F113" s="315">
        <f t="shared" si="2"/>
        <v>0.99843174951051539</v>
      </c>
    </row>
    <row r="114" spans="1:10" ht="26.25" customHeight="1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302.24848622216695</v>
      </c>
      <c r="F115" s="319">
        <f>AVERAGE(F108:F113)</f>
        <v>1.0074949540738898</v>
      </c>
    </row>
    <row r="116" spans="1:10" ht="27" customHeight="1" thickBot="1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1.0706238426475769E-2</v>
      </c>
      <c r="F116" s="321">
        <f>STDEV(F108:F113)/F115</f>
        <v>1.0706238426466889E-2</v>
      </c>
      <c r="I116" s="167"/>
    </row>
    <row r="117" spans="1:10" ht="27" customHeight="1" thickBot="1">
      <c r="A117" s="674" t="s">
        <v>74</v>
      </c>
      <c r="B117" s="678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>
      <c r="A118" s="676"/>
      <c r="B118" s="679"/>
      <c r="C118" s="167"/>
      <c r="D118" s="167"/>
      <c r="E118" s="167"/>
      <c r="F118" s="225"/>
      <c r="G118" s="167"/>
      <c r="H118" s="167"/>
      <c r="I118" s="167"/>
    </row>
    <row r="119" spans="1:10" ht="18.75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>
      <c r="A120" s="178" t="s">
        <v>102</v>
      </c>
      <c r="B120" s="179" t="s">
        <v>119</v>
      </c>
      <c r="C120" s="680" t="str">
        <f>B20</f>
        <v xml:space="preserve">Tenofovir Disoproxil Fumarate 300mg, Lamivudine 300mg &amp; Efavirenz 600mg </v>
      </c>
      <c r="D120" s="680"/>
      <c r="E120" s="167" t="s">
        <v>120</v>
      </c>
      <c r="F120" s="167"/>
      <c r="G120" s="276">
        <f>F115</f>
        <v>1.0074949540738898</v>
      </c>
      <c r="H120" s="167"/>
      <c r="I120" s="167"/>
    </row>
    <row r="121" spans="1:10" ht="19.5" customHeight="1" thickBot="1">
      <c r="A121" s="326"/>
      <c r="B121" s="326"/>
      <c r="C121" s="327"/>
      <c r="D121" s="327"/>
      <c r="E121" s="327"/>
      <c r="F121" s="327"/>
      <c r="G121" s="327"/>
      <c r="H121" s="327"/>
    </row>
    <row r="122" spans="1:10" ht="18.75">
      <c r="B122" s="681" t="s">
        <v>22</v>
      </c>
      <c r="C122" s="681"/>
      <c r="E122" s="279" t="s">
        <v>23</v>
      </c>
      <c r="F122" s="328"/>
      <c r="G122" s="681" t="s">
        <v>24</v>
      </c>
      <c r="H122" s="681"/>
    </row>
    <row r="123" spans="1:10" ht="69.95" customHeight="1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>
      <c r="A250" s="166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E13" sqref="E13"/>
    </sheetView>
  </sheetViews>
  <sheetFormatPr defaultRowHeight="13.5"/>
  <cols>
    <col min="1" max="1" width="27.5703125" style="586" customWidth="1"/>
    <col min="2" max="2" width="20.42578125" style="586" customWidth="1"/>
    <col min="3" max="3" width="31.85546875" style="586" customWidth="1"/>
    <col min="4" max="4" width="25.85546875" style="586" customWidth="1"/>
    <col min="5" max="5" width="25.7109375" style="586" customWidth="1"/>
    <col min="6" max="6" width="23.140625" style="586" customWidth="1"/>
    <col min="7" max="7" width="28.42578125" style="586" customWidth="1"/>
    <col min="8" max="8" width="21.5703125" style="586" customWidth="1"/>
    <col min="9" max="9" width="9.140625" style="586" customWidth="1"/>
    <col min="10" max="16384" width="9.140625" style="622"/>
  </cols>
  <sheetData>
    <row r="1" spans="1:5" ht="18.75" customHeight="1">
      <c r="A1" s="712" t="s">
        <v>0</v>
      </c>
      <c r="B1" s="712"/>
      <c r="C1" s="712"/>
      <c r="D1" s="712"/>
      <c r="E1" s="712"/>
    </row>
    <row r="2" spans="1:5" ht="16.5" customHeight="1">
      <c r="A2" s="587" t="s">
        <v>1</v>
      </c>
      <c r="B2" s="588" t="s">
        <v>2</v>
      </c>
    </row>
    <row r="3" spans="1:5" ht="16.5" customHeight="1">
      <c r="A3" s="589" t="s">
        <v>3</v>
      </c>
      <c r="B3" s="589" t="s">
        <v>121</v>
      </c>
      <c r="D3" s="590"/>
      <c r="E3" s="591"/>
    </row>
    <row r="4" spans="1:5" ht="16.5" customHeight="1">
      <c r="A4" s="592" t="s">
        <v>4</v>
      </c>
      <c r="B4" s="593" t="s">
        <v>127</v>
      </c>
      <c r="C4" s="591"/>
      <c r="D4" s="591"/>
      <c r="E4" s="591"/>
    </row>
    <row r="5" spans="1:5" ht="16.5" customHeight="1">
      <c r="A5" s="592" t="s">
        <v>5</v>
      </c>
      <c r="B5" s="590">
        <v>99.3</v>
      </c>
      <c r="C5" s="591"/>
      <c r="D5" s="591"/>
      <c r="E5" s="591"/>
    </row>
    <row r="6" spans="1:5" ht="16.5" customHeight="1">
      <c r="A6" s="589" t="s">
        <v>6</v>
      </c>
      <c r="B6" s="593">
        <f>EFFAVIRENZ!D43</f>
        <v>13.25</v>
      </c>
      <c r="C6" s="591"/>
      <c r="D6" s="591"/>
      <c r="E6" s="591"/>
    </row>
    <row r="7" spans="1:5" ht="16.5" customHeight="1">
      <c r="A7" s="589" t="s">
        <v>7</v>
      </c>
      <c r="B7" s="594">
        <f>B6/20*10/25</f>
        <v>0.26500000000000001</v>
      </c>
      <c r="C7" s="591"/>
      <c r="D7" s="591"/>
      <c r="E7" s="591"/>
    </row>
    <row r="8" spans="1:5" ht="15.75" customHeight="1">
      <c r="A8" s="591"/>
      <c r="B8" s="595"/>
      <c r="C8" s="591"/>
      <c r="D8" s="591"/>
      <c r="E8" s="591"/>
    </row>
    <row r="9" spans="1:5" ht="16.5" customHeight="1">
      <c r="A9" s="596" t="s">
        <v>9</v>
      </c>
      <c r="B9" s="597" t="s">
        <v>10</v>
      </c>
      <c r="C9" s="596" t="s">
        <v>11</v>
      </c>
      <c r="D9" s="596" t="s">
        <v>12</v>
      </c>
      <c r="E9" s="596" t="s">
        <v>13</v>
      </c>
    </row>
    <row r="10" spans="1:5" ht="16.5" customHeight="1">
      <c r="A10" s="598">
        <v>1</v>
      </c>
      <c r="B10" s="599">
        <v>5748159</v>
      </c>
      <c r="C10" s="599">
        <v>606284.6</v>
      </c>
      <c r="D10" s="600">
        <v>1.1000000000000001</v>
      </c>
      <c r="E10" s="601">
        <v>25.2</v>
      </c>
    </row>
    <row r="11" spans="1:5" ht="16.5" customHeight="1">
      <c r="A11" s="598">
        <v>2</v>
      </c>
      <c r="B11" s="599">
        <v>5778321</v>
      </c>
      <c r="C11" s="599">
        <v>605482.9</v>
      </c>
      <c r="D11" s="600">
        <v>1.1000000000000001</v>
      </c>
      <c r="E11" s="600">
        <v>25</v>
      </c>
    </row>
    <row r="12" spans="1:5" ht="16.5" customHeight="1">
      <c r="A12" s="598">
        <v>3</v>
      </c>
      <c r="B12" s="599">
        <v>5819403</v>
      </c>
      <c r="C12" s="599">
        <v>602132.19999999995</v>
      </c>
      <c r="D12" s="600">
        <v>0.9</v>
      </c>
      <c r="E12" s="600">
        <v>25</v>
      </c>
    </row>
    <row r="13" spans="1:5" ht="16.5" customHeight="1">
      <c r="A13" s="598">
        <v>4</v>
      </c>
      <c r="B13" s="599">
        <v>5819403</v>
      </c>
      <c r="C13" s="599">
        <v>605478.9</v>
      </c>
      <c r="D13" s="600">
        <v>0.9</v>
      </c>
      <c r="E13" s="600">
        <v>25</v>
      </c>
    </row>
    <row r="14" spans="1:5" ht="16.5" customHeight="1">
      <c r="A14" s="598">
        <v>5</v>
      </c>
      <c r="B14" s="599">
        <v>5889329</v>
      </c>
      <c r="C14" s="599">
        <v>602556.4</v>
      </c>
      <c r="D14" s="600">
        <v>0.9</v>
      </c>
      <c r="E14" s="600">
        <v>25</v>
      </c>
    </row>
    <row r="15" spans="1:5" ht="16.5" customHeight="1">
      <c r="A15" s="598">
        <v>6</v>
      </c>
      <c r="B15" s="602">
        <v>5830372</v>
      </c>
      <c r="C15" s="602">
        <v>598975.30000000005</v>
      </c>
      <c r="D15" s="603">
        <v>0.9</v>
      </c>
      <c r="E15" s="603">
        <v>25</v>
      </c>
    </row>
    <row r="16" spans="1:5" ht="16.5" customHeight="1">
      <c r="A16" s="604" t="s">
        <v>14</v>
      </c>
      <c r="B16" s="605">
        <f>AVERAGE(B10:B15)</f>
        <v>5814164.5</v>
      </c>
      <c r="C16" s="606">
        <f>AVERAGE(C10:C15)</f>
        <v>603485.04999999993</v>
      </c>
      <c r="D16" s="607">
        <f>AVERAGE(D10:D15)</f>
        <v>0.96666666666666679</v>
      </c>
      <c r="E16" s="607">
        <f>AVERAGE(E10:E15)</f>
        <v>25.033333333333331</v>
      </c>
    </row>
    <row r="17" spans="1:5" ht="16.5" customHeight="1">
      <c r="A17" s="608" t="s">
        <v>15</v>
      </c>
      <c r="B17" s="609">
        <f>(STDEV(B10:B15)/B16)</f>
        <v>8.2874407840026771E-3</v>
      </c>
      <c r="C17" s="610"/>
      <c r="D17" s="610"/>
      <c r="E17" s="611"/>
    </row>
    <row r="18" spans="1:5" s="586" customFormat="1" ht="16.5" customHeight="1">
      <c r="A18" s="612" t="s">
        <v>16</v>
      </c>
      <c r="B18" s="613">
        <f>COUNT(B10:B15)</f>
        <v>6</v>
      </c>
      <c r="C18" s="614"/>
      <c r="D18" s="615"/>
      <c r="E18" s="616"/>
    </row>
    <row r="19" spans="1:5" s="586" customFormat="1" ht="15.75" customHeight="1">
      <c r="A19" s="591"/>
      <c r="B19" s="591"/>
      <c r="C19" s="591"/>
      <c r="D19" s="591"/>
      <c r="E19" s="591"/>
    </row>
    <row r="20" spans="1:5" s="586" customFormat="1" ht="16.5" customHeight="1">
      <c r="A20" s="592" t="s">
        <v>17</v>
      </c>
      <c r="B20" s="617" t="s">
        <v>18</v>
      </c>
      <c r="C20" s="618"/>
      <c r="D20" s="618"/>
      <c r="E20" s="618"/>
    </row>
    <row r="21" spans="1:5" ht="16.5" customHeight="1">
      <c r="A21" s="592"/>
      <c r="B21" s="617" t="s">
        <v>19</v>
      </c>
      <c r="C21" s="618"/>
      <c r="D21" s="618"/>
      <c r="E21" s="618"/>
    </row>
    <row r="22" spans="1:5" ht="16.5" customHeight="1">
      <c r="A22" s="592"/>
      <c r="B22" s="617" t="s">
        <v>20</v>
      </c>
      <c r="C22" s="618"/>
      <c r="D22" s="618"/>
      <c r="E22" s="618"/>
    </row>
    <row r="23" spans="1:5" ht="15.75" customHeight="1">
      <c r="A23" s="591"/>
      <c r="B23" s="591"/>
      <c r="C23" s="591"/>
      <c r="D23" s="591"/>
      <c r="E23" s="591"/>
    </row>
    <row r="24" spans="1:5" ht="16.5" customHeight="1">
      <c r="A24" s="587" t="s">
        <v>1</v>
      </c>
      <c r="B24" s="588" t="s">
        <v>21</v>
      </c>
    </row>
    <row r="25" spans="1:5" ht="16.5" customHeight="1">
      <c r="A25" s="592" t="s">
        <v>4</v>
      </c>
      <c r="B25" s="589" t="s">
        <v>127</v>
      </c>
      <c r="C25" s="591"/>
      <c r="D25" s="591"/>
      <c r="E25" s="591"/>
    </row>
    <row r="26" spans="1:5" ht="16.5" customHeight="1">
      <c r="A26" s="592" t="s">
        <v>5</v>
      </c>
      <c r="B26" s="593">
        <v>99.3</v>
      </c>
      <c r="C26" s="591"/>
      <c r="D26" s="591"/>
      <c r="E26" s="591"/>
    </row>
    <row r="27" spans="1:5" ht="16.5" customHeight="1">
      <c r="A27" s="589" t="s">
        <v>6</v>
      </c>
      <c r="B27" s="593">
        <f>EFFAVIRENZ!D96</f>
        <v>29.06</v>
      </c>
      <c r="C27" s="591"/>
      <c r="D27" s="591"/>
      <c r="E27" s="591"/>
    </row>
    <row r="28" spans="1:5" ht="16.5" customHeight="1">
      <c r="A28" s="589" t="s">
        <v>7</v>
      </c>
      <c r="B28" s="594">
        <f>B27/50</f>
        <v>0.58119999999999994</v>
      </c>
      <c r="C28" s="591"/>
      <c r="D28" s="591"/>
      <c r="E28" s="591"/>
    </row>
    <row r="29" spans="1:5" ht="15.75" customHeight="1">
      <c r="A29" s="591"/>
      <c r="B29" s="591"/>
      <c r="C29" s="591"/>
      <c r="D29" s="591"/>
      <c r="E29" s="591"/>
    </row>
    <row r="30" spans="1:5" ht="16.5" customHeight="1">
      <c r="A30" s="596" t="s">
        <v>9</v>
      </c>
      <c r="B30" s="597" t="s">
        <v>10</v>
      </c>
      <c r="C30" s="596" t="s">
        <v>11</v>
      </c>
      <c r="D30" s="596" t="s">
        <v>12</v>
      </c>
      <c r="E30" s="596" t="s">
        <v>13</v>
      </c>
    </row>
    <row r="31" spans="1:5" ht="16.5" customHeight="1">
      <c r="A31" s="598">
        <v>1</v>
      </c>
      <c r="B31" s="599">
        <v>227300336</v>
      </c>
      <c r="C31" s="599">
        <v>120558.3</v>
      </c>
      <c r="D31" s="600">
        <v>1.0900000000000001</v>
      </c>
      <c r="E31" s="601">
        <v>23.67</v>
      </c>
    </row>
    <row r="32" spans="1:5" ht="16.5" customHeight="1">
      <c r="A32" s="598">
        <v>2</v>
      </c>
      <c r="B32" s="599">
        <v>226800948</v>
      </c>
      <c r="C32" s="599">
        <v>121302.9</v>
      </c>
      <c r="D32" s="600">
        <v>1.1100000000000001</v>
      </c>
      <c r="E32" s="600">
        <v>23.67</v>
      </c>
    </row>
    <row r="33" spans="1:7" ht="16.5" customHeight="1">
      <c r="A33" s="598">
        <v>3</v>
      </c>
      <c r="B33" s="599">
        <v>226133275</v>
      </c>
      <c r="C33" s="599">
        <v>120521.3</v>
      </c>
      <c r="D33" s="600">
        <v>1.1000000000000001</v>
      </c>
      <c r="E33" s="600">
        <v>23.67</v>
      </c>
    </row>
    <row r="34" spans="1:7" ht="16.5" customHeight="1">
      <c r="A34" s="598">
        <v>4</v>
      </c>
      <c r="B34" s="599">
        <v>227041353</v>
      </c>
      <c r="C34" s="599">
        <v>120961.2</v>
      </c>
      <c r="D34" s="600">
        <v>1.1000000000000001</v>
      </c>
      <c r="E34" s="600">
        <v>23.67</v>
      </c>
    </row>
    <row r="35" spans="1:7" ht="16.5" customHeight="1">
      <c r="A35" s="598">
        <v>5</v>
      </c>
      <c r="B35" s="599">
        <v>227264480</v>
      </c>
      <c r="C35" s="599">
        <v>120732</v>
      </c>
      <c r="D35" s="600">
        <v>1.1100000000000001</v>
      </c>
      <c r="E35" s="600">
        <v>23.67</v>
      </c>
    </row>
    <row r="36" spans="1:7" ht="16.5" customHeight="1">
      <c r="A36" s="598">
        <v>6</v>
      </c>
      <c r="B36" s="602">
        <v>227213243</v>
      </c>
      <c r="C36" s="602">
        <v>121167.9</v>
      </c>
      <c r="D36" s="603">
        <v>1.0900000000000001</v>
      </c>
      <c r="E36" s="603">
        <v>23.67</v>
      </c>
    </row>
    <row r="37" spans="1:7" ht="16.5" customHeight="1">
      <c r="A37" s="604" t="s">
        <v>14</v>
      </c>
      <c r="B37" s="605">
        <f>AVERAGE(B31:B36)</f>
        <v>226958939.16666666</v>
      </c>
      <c r="C37" s="606">
        <f>AVERAGE(C31:C36)</f>
        <v>120873.93333333333</v>
      </c>
      <c r="D37" s="607">
        <f>AVERAGE(D31:D36)</f>
        <v>1.1000000000000001</v>
      </c>
      <c r="E37" s="607">
        <f>AVERAGE(E31:E36)</f>
        <v>23.67</v>
      </c>
    </row>
    <row r="38" spans="1:7" ht="16.5" customHeight="1">
      <c r="A38" s="608" t="s">
        <v>15</v>
      </c>
      <c r="B38" s="609">
        <f>(STDEV(B31:B36)/B37)</f>
        <v>1.9586534707125899E-3</v>
      </c>
      <c r="C38" s="610"/>
      <c r="D38" s="610"/>
      <c r="E38" s="611"/>
    </row>
    <row r="39" spans="1:7" s="586" customFormat="1" ht="16.5" customHeight="1">
      <c r="A39" s="612" t="s">
        <v>16</v>
      </c>
      <c r="B39" s="613">
        <f>COUNT(B31:B36)</f>
        <v>6</v>
      </c>
      <c r="C39" s="614"/>
      <c r="D39" s="615"/>
      <c r="E39" s="616"/>
    </row>
    <row r="40" spans="1:7" s="586" customFormat="1" ht="15.75" customHeight="1">
      <c r="A40" s="591"/>
      <c r="B40" s="591"/>
      <c r="C40" s="591"/>
      <c r="D40" s="591"/>
      <c r="E40" s="591"/>
    </row>
    <row r="41" spans="1:7" s="586" customFormat="1" ht="16.5" customHeight="1">
      <c r="A41" s="592" t="s">
        <v>17</v>
      </c>
      <c r="B41" s="617" t="s">
        <v>18</v>
      </c>
      <c r="C41" s="618"/>
      <c r="D41" s="618"/>
      <c r="E41" s="618"/>
    </row>
    <row r="42" spans="1:7" ht="16.5" customHeight="1">
      <c r="A42" s="592"/>
      <c r="B42" s="617" t="s">
        <v>19</v>
      </c>
      <c r="C42" s="618"/>
      <c r="D42" s="618"/>
      <c r="E42" s="618"/>
    </row>
    <row r="43" spans="1:7" ht="16.5" customHeight="1">
      <c r="A43" s="592"/>
      <c r="B43" s="617" t="s">
        <v>20</v>
      </c>
      <c r="C43" s="618"/>
      <c r="D43" s="618"/>
      <c r="E43" s="618"/>
    </row>
    <row r="44" spans="1:7" ht="14.25" customHeight="1" thickBot="1">
      <c r="A44" s="619"/>
      <c r="B44" s="620"/>
      <c r="D44" s="621"/>
      <c r="F44" s="622"/>
      <c r="G44" s="622"/>
    </row>
    <row r="45" spans="1:7" ht="15" customHeight="1">
      <c r="B45" s="713" t="s">
        <v>22</v>
      </c>
      <c r="C45" s="713"/>
      <c r="E45" s="623" t="s">
        <v>23</v>
      </c>
      <c r="F45" s="624"/>
      <c r="G45" s="623" t="s">
        <v>24</v>
      </c>
    </row>
    <row r="46" spans="1:7" ht="15" customHeight="1">
      <c r="A46" s="625" t="s">
        <v>25</v>
      </c>
      <c r="B46" s="626"/>
      <c r="C46" s="626"/>
      <c r="E46" s="626"/>
      <c r="G46" s="626"/>
    </row>
    <row r="47" spans="1:7" ht="15" customHeight="1">
      <c r="A47" s="625" t="s">
        <v>26</v>
      </c>
      <c r="B47" s="627"/>
      <c r="C47" s="627"/>
      <c r="E47" s="627"/>
      <c r="G47" s="62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15" zoomScale="50" zoomScaleNormal="60" zoomScaleSheetLayoutView="50" zoomScalePageLayoutView="42" workbookViewId="0">
      <selection activeCell="F71" sqref="F71"/>
    </sheetView>
  </sheetViews>
  <sheetFormatPr defaultColWidth="9.140625" defaultRowHeight="13.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>
      <c r="A1" s="744" t="s">
        <v>41</v>
      </c>
      <c r="B1" s="744"/>
      <c r="C1" s="744"/>
      <c r="D1" s="744"/>
      <c r="E1" s="744"/>
      <c r="F1" s="744"/>
      <c r="G1" s="744"/>
      <c r="H1" s="744"/>
      <c r="I1" s="744"/>
    </row>
    <row r="2" spans="1:9" ht="18.75" customHeight="1">
      <c r="A2" s="744"/>
      <c r="B2" s="744"/>
      <c r="C2" s="744"/>
      <c r="D2" s="744"/>
      <c r="E2" s="744"/>
      <c r="F2" s="744"/>
      <c r="G2" s="744"/>
      <c r="H2" s="744"/>
      <c r="I2" s="744"/>
    </row>
    <row r="3" spans="1:9" ht="18.75" customHeight="1">
      <c r="A3" s="744"/>
      <c r="B3" s="744"/>
      <c r="C3" s="744"/>
      <c r="D3" s="744"/>
      <c r="E3" s="744"/>
      <c r="F3" s="744"/>
      <c r="G3" s="744"/>
      <c r="H3" s="744"/>
      <c r="I3" s="744"/>
    </row>
    <row r="4" spans="1:9" ht="18.75" customHeight="1">
      <c r="A4" s="744"/>
      <c r="B4" s="744"/>
      <c r="C4" s="744"/>
      <c r="D4" s="744"/>
      <c r="E4" s="744"/>
      <c r="F4" s="744"/>
      <c r="G4" s="744"/>
      <c r="H4" s="744"/>
      <c r="I4" s="744"/>
    </row>
    <row r="5" spans="1:9" ht="18.75" customHeight="1">
      <c r="A5" s="744"/>
      <c r="B5" s="744"/>
      <c r="C5" s="744"/>
      <c r="D5" s="744"/>
      <c r="E5" s="744"/>
      <c r="F5" s="744"/>
      <c r="G5" s="744"/>
      <c r="H5" s="744"/>
      <c r="I5" s="744"/>
    </row>
    <row r="6" spans="1:9" ht="18.75" customHeight="1">
      <c r="A6" s="744"/>
      <c r="B6" s="744"/>
      <c r="C6" s="744"/>
      <c r="D6" s="744"/>
      <c r="E6" s="744"/>
      <c r="F6" s="744"/>
      <c r="G6" s="744"/>
      <c r="H6" s="744"/>
      <c r="I6" s="744"/>
    </row>
    <row r="7" spans="1:9" ht="18.75" customHeight="1">
      <c r="A7" s="744"/>
      <c r="B7" s="744"/>
      <c r="C7" s="744"/>
      <c r="D7" s="744"/>
      <c r="E7" s="744"/>
      <c r="F7" s="744"/>
      <c r="G7" s="744"/>
      <c r="H7" s="744"/>
      <c r="I7" s="744"/>
    </row>
    <row r="8" spans="1:9">
      <c r="A8" s="745" t="s">
        <v>42</v>
      </c>
      <c r="B8" s="745"/>
      <c r="C8" s="745"/>
      <c r="D8" s="745"/>
      <c r="E8" s="745"/>
      <c r="F8" s="745"/>
      <c r="G8" s="745"/>
      <c r="H8" s="745"/>
      <c r="I8" s="745"/>
    </row>
    <row r="9" spans="1:9">
      <c r="A9" s="745"/>
      <c r="B9" s="745"/>
      <c r="C9" s="745"/>
      <c r="D9" s="745"/>
      <c r="E9" s="745"/>
      <c r="F9" s="745"/>
      <c r="G9" s="745"/>
      <c r="H9" s="745"/>
      <c r="I9" s="745"/>
    </row>
    <row r="10" spans="1:9">
      <c r="A10" s="745"/>
      <c r="B10" s="745"/>
      <c r="C10" s="745"/>
      <c r="D10" s="745"/>
      <c r="E10" s="745"/>
      <c r="F10" s="745"/>
      <c r="G10" s="745"/>
      <c r="H10" s="745"/>
      <c r="I10" s="745"/>
    </row>
    <row r="11" spans="1:9">
      <c r="A11" s="745"/>
      <c r="B11" s="745"/>
      <c r="C11" s="745"/>
      <c r="D11" s="745"/>
      <c r="E11" s="745"/>
      <c r="F11" s="745"/>
      <c r="G11" s="745"/>
      <c r="H11" s="745"/>
      <c r="I11" s="745"/>
    </row>
    <row r="12" spans="1:9">
      <c r="A12" s="745"/>
      <c r="B12" s="745"/>
      <c r="C12" s="745"/>
      <c r="D12" s="745"/>
      <c r="E12" s="745"/>
      <c r="F12" s="745"/>
      <c r="G12" s="745"/>
      <c r="H12" s="745"/>
      <c r="I12" s="745"/>
    </row>
    <row r="13" spans="1:9">
      <c r="A13" s="745"/>
      <c r="B13" s="745"/>
      <c r="C13" s="745"/>
      <c r="D13" s="745"/>
      <c r="E13" s="745"/>
      <c r="F13" s="745"/>
      <c r="G13" s="745"/>
      <c r="H13" s="745"/>
      <c r="I13" s="745"/>
    </row>
    <row r="14" spans="1:9">
      <c r="A14" s="745"/>
      <c r="B14" s="745"/>
      <c r="C14" s="745"/>
      <c r="D14" s="745"/>
      <c r="E14" s="745"/>
      <c r="F14" s="745"/>
      <c r="G14" s="745"/>
      <c r="H14" s="745"/>
      <c r="I14" s="745"/>
    </row>
    <row r="15" spans="1:9" ht="19.5" customHeight="1" thickBot="1">
      <c r="A15" s="333"/>
    </row>
    <row r="16" spans="1:9" ht="19.5" customHeight="1" thickBot="1">
      <c r="A16" s="746" t="s">
        <v>27</v>
      </c>
      <c r="B16" s="747"/>
      <c r="C16" s="747"/>
      <c r="D16" s="747"/>
      <c r="E16" s="747"/>
      <c r="F16" s="747"/>
      <c r="G16" s="747"/>
      <c r="H16" s="748"/>
    </row>
    <row r="17" spans="1:14" ht="20.25" customHeight="1">
      <c r="A17" s="749" t="s">
        <v>43</v>
      </c>
      <c r="B17" s="749"/>
      <c r="C17" s="749"/>
      <c r="D17" s="749"/>
      <c r="E17" s="749"/>
      <c r="F17" s="749"/>
      <c r="G17" s="749"/>
      <c r="H17" s="749"/>
    </row>
    <row r="18" spans="1:14" ht="26.25" customHeight="1">
      <c r="A18" s="335" t="s">
        <v>29</v>
      </c>
      <c r="B18" s="750" t="s">
        <v>121</v>
      </c>
      <c r="C18" s="750"/>
      <c r="D18" s="336"/>
      <c r="E18" s="337"/>
      <c r="F18" s="338"/>
      <c r="G18" s="338"/>
      <c r="H18" s="338"/>
    </row>
    <row r="19" spans="1:14" ht="26.25" customHeight="1">
      <c r="A19" s="335" t="s">
        <v>30</v>
      </c>
      <c r="B19" s="339" t="str">
        <f>'Tenofovir Disoproxil Fumarate'!B19</f>
        <v>NDQB201608082</v>
      </c>
      <c r="C19" s="338">
        <v>29</v>
      </c>
      <c r="D19" s="338"/>
      <c r="E19" s="338"/>
      <c r="F19" s="338"/>
      <c r="G19" s="338"/>
      <c r="H19" s="338"/>
    </row>
    <row r="20" spans="1:14" ht="26.25" customHeight="1">
      <c r="A20" s="335" t="s">
        <v>31</v>
      </c>
      <c r="B20" s="751" t="s">
        <v>122</v>
      </c>
      <c r="C20" s="751"/>
      <c r="D20" s="338"/>
      <c r="E20" s="338"/>
      <c r="F20" s="338"/>
      <c r="G20" s="338"/>
      <c r="H20" s="338"/>
    </row>
    <row r="21" spans="1:14" ht="26.25" customHeight="1">
      <c r="A21" s="335" t="s">
        <v>32</v>
      </c>
      <c r="B21" s="751" t="s">
        <v>8</v>
      </c>
      <c r="C21" s="751"/>
      <c r="D21" s="751"/>
      <c r="E21" s="751"/>
      <c r="F21" s="751"/>
      <c r="G21" s="751"/>
      <c r="H21" s="751"/>
      <c r="I21" s="340"/>
    </row>
    <row r="22" spans="1:14" ht="26.25" customHeight="1">
      <c r="A22" s="335" t="s">
        <v>33</v>
      </c>
      <c r="B22" s="341">
        <f>'Tenofovir Disoproxil Fumarate'!B22</f>
        <v>42618</v>
      </c>
      <c r="C22" s="338"/>
      <c r="D22" s="338"/>
      <c r="E22" s="338"/>
      <c r="F22" s="338"/>
      <c r="G22" s="338"/>
      <c r="H22" s="338"/>
    </row>
    <row r="23" spans="1:14" ht="26.25" customHeight="1">
      <c r="A23" s="335" t="s">
        <v>34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>
      <c r="A24" s="335"/>
      <c r="B24" s="342"/>
    </row>
    <row r="25" spans="1:14" ht="18.75">
      <c r="A25" s="343" t="s">
        <v>1</v>
      </c>
      <c r="B25" s="342"/>
    </row>
    <row r="26" spans="1:14" ht="26.25" customHeight="1">
      <c r="A26" s="344" t="s">
        <v>4</v>
      </c>
      <c r="B26" s="750" t="s">
        <v>126</v>
      </c>
      <c r="C26" s="750"/>
    </row>
    <row r="27" spans="1:14" ht="26.25" customHeight="1">
      <c r="A27" s="345" t="s">
        <v>44</v>
      </c>
      <c r="B27" s="752" t="s">
        <v>132</v>
      </c>
      <c r="C27" s="752"/>
    </row>
    <row r="28" spans="1:14" ht="27" customHeight="1" thickBot="1">
      <c r="A28" s="345" t="s">
        <v>5</v>
      </c>
      <c r="B28" s="346">
        <v>99.3</v>
      </c>
    </row>
    <row r="29" spans="1:14" s="348" customFormat="1" ht="27" customHeight="1" thickBot="1">
      <c r="A29" s="345" t="s">
        <v>45</v>
      </c>
      <c r="B29" s="347">
        <v>0</v>
      </c>
      <c r="C29" s="733" t="s">
        <v>46</v>
      </c>
      <c r="D29" s="734"/>
      <c r="E29" s="734"/>
      <c r="F29" s="734"/>
      <c r="G29" s="735"/>
      <c r="I29" s="349"/>
      <c r="J29" s="349"/>
      <c r="K29" s="349"/>
      <c r="L29" s="349"/>
    </row>
    <row r="30" spans="1:14" s="348" customFormat="1" ht="19.5" customHeight="1" thickBot="1">
      <c r="A30" s="345" t="s">
        <v>47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>
      <c r="A31" s="345" t="s">
        <v>48</v>
      </c>
      <c r="B31" s="353">
        <v>1</v>
      </c>
      <c r="C31" s="736" t="s">
        <v>49</v>
      </c>
      <c r="D31" s="737"/>
      <c r="E31" s="737"/>
      <c r="F31" s="737"/>
      <c r="G31" s="737"/>
      <c r="H31" s="738"/>
      <c r="I31" s="349"/>
      <c r="J31" s="349"/>
      <c r="K31" s="349"/>
      <c r="L31" s="349"/>
    </row>
    <row r="32" spans="1:14" s="348" customFormat="1" ht="27" customHeight="1" thickBot="1">
      <c r="A32" s="345" t="s">
        <v>50</v>
      </c>
      <c r="B32" s="353">
        <v>1</v>
      </c>
      <c r="C32" s="736" t="s">
        <v>51</v>
      </c>
      <c r="D32" s="737"/>
      <c r="E32" s="737"/>
      <c r="F32" s="737"/>
      <c r="G32" s="737"/>
      <c r="H32" s="738"/>
      <c r="I32" s="349"/>
      <c r="J32" s="349"/>
      <c r="K32" s="349"/>
      <c r="L32" s="354"/>
      <c r="M32" s="354"/>
      <c r="N32" s="355"/>
    </row>
    <row r="33" spans="1:14" s="348" customFormat="1" ht="17.25" customHeight="1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>
      <c r="A34" s="345" t="s">
        <v>52</v>
      </c>
      <c r="B34" s="358">
        <f>B31/B32</f>
        <v>1</v>
      </c>
      <c r="C34" s="333" t="s">
        <v>53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>
      <c r="A36" s="359" t="s">
        <v>54</v>
      </c>
      <c r="B36" s="360">
        <v>20</v>
      </c>
      <c r="C36" s="333"/>
      <c r="D36" s="723" t="s">
        <v>55</v>
      </c>
      <c r="E36" s="743"/>
      <c r="F36" s="723" t="s">
        <v>56</v>
      </c>
      <c r="G36" s="724"/>
      <c r="J36" s="349"/>
      <c r="K36" s="349"/>
      <c r="L36" s="354"/>
      <c r="M36" s="354"/>
      <c r="N36" s="355"/>
    </row>
    <row r="37" spans="1:14" s="348" customFormat="1" ht="27" customHeight="1" thickBot="1">
      <c r="A37" s="361" t="s">
        <v>57</v>
      </c>
      <c r="B37" s="362">
        <v>10</v>
      </c>
      <c r="C37" s="363" t="s">
        <v>58</v>
      </c>
      <c r="D37" s="364" t="s">
        <v>59</v>
      </c>
      <c r="E37" s="365" t="s">
        <v>60</v>
      </c>
      <c r="F37" s="364" t="s">
        <v>59</v>
      </c>
      <c r="G37" s="366" t="s">
        <v>60</v>
      </c>
      <c r="I37" s="367" t="s">
        <v>61</v>
      </c>
      <c r="J37" s="349"/>
      <c r="K37" s="349"/>
      <c r="L37" s="354"/>
      <c r="M37" s="354"/>
      <c r="N37" s="355"/>
    </row>
    <row r="38" spans="1:14" s="348" customFormat="1" ht="26.25" customHeight="1">
      <c r="A38" s="361" t="s">
        <v>62</v>
      </c>
      <c r="B38" s="362">
        <v>25</v>
      </c>
      <c r="C38" s="368">
        <v>1</v>
      </c>
      <c r="D38" s="369">
        <v>5819403</v>
      </c>
      <c r="E38" s="370">
        <f>IF(ISBLANK(D38),"-",$D$48/$D$45*D38)</f>
        <v>5307555.6062247055</v>
      </c>
      <c r="F38" s="369">
        <v>5104547</v>
      </c>
      <c r="G38" s="371">
        <f>IF(ISBLANK(F38),"-",$D$48/$F$45*F38)</f>
        <v>5281367.1729503796</v>
      </c>
      <c r="I38" s="372"/>
      <c r="J38" s="349"/>
      <c r="K38" s="349"/>
      <c r="L38" s="354"/>
      <c r="M38" s="354"/>
      <c r="N38" s="355"/>
    </row>
    <row r="39" spans="1:14" s="348" customFormat="1" ht="26.25" customHeight="1">
      <c r="A39" s="361" t="s">
        <v>63</v>
      </c>
      <c r="B39" s="362">
        <v>1</v>
      </c>
      <c r="C39" s="373">
        <v>2</v>
      </c>
      <c r="D39" s="374">
        <v>5889329</v>
      </c>
      <c r="E39" s="375">
        <f>IF(ISBLANK(D39),"-",$D$48/$D$45*D39)</f>
        <v>5371331.2432309184</v>
      </c>
      <c r="F39" s="374">
        <v>5148511</v>
      </c>
      <c r="G39" s="376">
        <f>IF(ISBLANK(F39),"-",$D$48/$F$45*F39)</f>
        <v>5326854.0744112907</v>
      </c>
      <c r="I39" s="714">
        <f>ABS((F43/D43*D42)-F42)/D42</f>
        <v>4.6713126990571346E-3</v>
      </c>
      <c r="J39" s="349"/>
      <c r="K39" s="349"/>
      <c r="L39" s="354"/>
      <c r="M39" s="354"/>
      <c r="N39" s="355"/>
    </row>
    <row r="40" spans="1:14" ht="26.25" customHeight="1">
      <c r="A40" s="361" t="s">
        <v>64</v>
      </c>
      <c r="B40" s="362">
        <v>1</v>
      </c>
      <c r="C40" s="373">
        <v>3</v>
      </c>
      <c r="D40" s="374">
        <v>5830372</v>
      </c>
      <c r="E40" s="375">
        <f>IF(ISBLANK(D40),"-",$D$48/$D$45*D40)</f>
        <v>5317559.824431398</v>
      </c>
      <c r="F40" s="374">
        <v>5125897</v>
      </c>
      <c r="G40" s="376">
        <f>IF(ISBLANK(F40),"-",$D$48/$F$45*F40)</f>
        <v>5303456.7313661398</v>
      </c>
      <c r="I40" s="714"/>
      <c r="L40" s="354"/>
      <c r="M40" s="354"/>
      <c r="N40" s="333"/>
    </row>
    <row r="41" spans="1:14" ht="27" customHeight="1" thickBot="1">
      <c r="A41" s="361" t="s">
        <v>65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>
      <c r="A42" s="361" t="s">
        <v>66</v>
      </c>
      <c r="B42" s="362">
        <v>1</v>
      </c>
      <c r="C42" s="382" t="s">
        <v>67</v>
      </c>
      <c r="D42" s="383">
        <f>AVERAGE(D38:D41)</f>
        <v>5846368</v>
      </c>
      <c r="E42" s="384">
        <f>AVERAGE(E38:E41)</f>
        <v>5332148.8912956743</v>
      </c>
      <c r="F42" s="383">
        <f>AVERAGE(F38:F41)</f>
        <v>5126318.333333333</v>
      </c>
      <c r="G42" s="385">
        <f>AVERAGE(G38:G41)</f>
        <v>5303892.6595759364</v>
      </c>
      <c r="H42" s="386"/>
    </row>
    <row r="43" spans="1:14" ht="26.25" customHeight="1">
      <c r="A43" s="361" t="s">
        <v>68</v>
      </c>
      <c r="B43" s="362">
        <v>1</v>
      </c>
      <c r="C43" s="387" t="s">
        <v>69</v>
      </c>
      <c r="D43" s="388">
        <v>13.25</v>
      </c>
      <c r="E43" s="333"/>
      <c r="F43" s="388">
        <v>11.68</v>
      </c>
      <c r="H43" s="386"/>
    </row>
    <row r="44" spans="1:14" ht="26.25" customHeight="1">
      <c r="A44" s="361" t="s">
        <v>70</v>
      </c>
      <c r="B44" s="362">
        <v>1</v>
      </c>
      <c r="C44" s="389" t="s">
        <v>71</v>
      </c>
      <c r="D44" s="390">
        <f>D43*$B$34</f>
        <v>13.25</v>
      </c>
      <c r="E44" s="391"/>
      <c r="F44" s="390">
        <f>F43*$B$34</f>
        <v>11.68</v>
      </c>
      <c r="H44" s="386"/>
    </row>
    <row r="45" spans="1:14" ht="19.5" customHeight="1" thickBot="1">
      <c r="A45" s="361" t="s">
        <v>72</v>
      </c>
      <c r="B45" s="373">
        <f>(B44/B43)*(B42/B41)*(B40/B39)*(B38/B37)*B36</f>
        <v>50</v>
      </c>
      <c r="C45" s="389" t="s">
        <v>73</v>
      </c>
      <c r="D45" s="392">
        <f>D44*$B$30/100</f>
        <v>13.157249999999999</v>
      </c>
      <c r="E45" s="393"/>
      <c r="F45" s="392">
        <f>F44*$B$30/100</f>
        <v>11.598239999999999</v>
      </c>
      <c r="H45" s="386"/>
    </row>
    <row r="46" spans="1:14" ht="19.5" customHeight="1" thickBot="1">
      <c r="A46" s="715" t="s">
        <v>74</v>
      </c>
      <c r="B46" s="719"/>
      <c r="C46" s="389" t="s">
        <v>75</v>
      </c>
      <c r="D46" s="394">
        <f>D45/$B$45</f>
        <v>0.26314499999999996</v>
      </c>
      <c r="E46" s="395"/>
      <c r="F46" s="396">
        <f>F45/$B$45</f>
        <v>0.23196479999999997</v>
      </c>
      <c r="H46" s="386"/>
    </row>
    <row r="47" spans="1:14" ht="27" customHeight="1" thickBot="1">
      <c r="A47" s="717"/>
      <c r="B47" s="720"/>
      <c r="C47" s="397" t="s">
        <v>76</v>
      </c>
      <c r="D47" s="398">
        <v>0.24</v>
      </c>
      <c r="E47" s="399"/>
      <c r="F47" s="395"/>
      <c r="H47" s="386"/>
    </row>
    <row r="48" spans="1:14" ht="18.75">
      <c r="C48" s="400" t="s">
        <v>77</v>
      </c>
      <c r="D48" s="392">
        <f>D47*$B$45</f>
        <v>12</v>
      </c>
      <c r="F48" s="401"/>
      <c r="H48" s="386"/>
    </row>
    <row r="49" spans="1:12" ht="19.5" customHeight="1" thickBot="1">
      <c r="C49" s="402" t="s">
        <v>78</v>
      </c>
      <c r="D49" s="403">
        <f>D48/B34</f>
        <v>12</v>
      </c>
      <c r="F49" s="401"/>
      <c r="H49" s="386"/>
    </row>
    <row r="50" spans="1:12" ht="18.75">
      <c r="C50" s="359" t="s">
        <v>79</v>
      </c>
      <c r="D50" s="404">
        <f>AVERAGE(E38:E41,G38:G41)</f>
        <v>5318020.7754358053</v>
      </c>
      <c r="F50" s="405"/>
      <c r="H50" s="386"/>
    </row>
    <row r="51" spans="1:12" ht="18.75">
      <c r="C51" s="361" t="s">
        <v>80</v>
      </c>
      <c r="D51" s="406">
        <f>STDEV(E38:E41,G38:G41)/D50</f>
        <v>5.694450808657445E-3</v>
      </c>
      <c r="F51" s="405"/>
      <c r="H51" s="386"/>
    </row>
    <row r="52" spans="1:12" ht="19.5" customHeight="1" thickBot="1">
      <c r="C52" s="407" t="s">
        <v>16</v>
      </c>
      <c r="D52" s="408">
        <f>COUNT(E38:E41,G38:G41)</f>
        <v>6</v>
      </c>
      <c r="F52" s="405"/>
    </row>
    <row r="54" spans="1:12" ht="18.75">
      <c r="A54" s="409" t="s">
        <v>1</v>
      </c>
      <c r="B54" s="410" t="s">
        <v>81</v>
      </c>
    </row>
    <row r="55" spans="1:12" ht="18.75">
      <c r="A55" s="333" t="s">
        <v>82</v>
      </c>
      <c r="B55" s="411" t="str">
        <f>B21</f>
        <v>Tenofovir Disoproxil Fumarate 300mg, Lamivudine 300mg, Efavirenz 600mg</v>
      </c>
    </row>
    <row r="56" spans="1:12" ht="26.25" customHeight="1">
      <c r="A56" s="411" t="s">
        <v>83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>
      <c r="A57" s="411" t="s">
        <v>84</v>
      </c>
      <c r="B57" s="413">
        <f>'Tenofovir Disoproxil Fumarate'!B57</f>
        <v>1897.7329999999997</v>
      </c>
      <c r="H57" s="391"/>
    </row>
    <row r="58" spans="1:12" ht="19.5" customHeight="1" thickBot="1">
      <c r="H58" s="391"/>
    </row>
    <row r="59" spans="1:12" s="348" customFormat="1" ht="27" customHeight="1" thickBot="1">
      <c r="A59" s="359" t="s">
        <v>85</v>
      </c>
      <c r="B59" s="360">
        <v>100</v>
      </c>
      <c r="C59" s="333"/>
      <c r="D59" s="414" t="s">
        <v>86</v>
      </c>
      <c r="E59" s="415" t="s">
        <v>58</v>
      </c>
      <c r="F59" s="415" t="s">
        <v>59</v>
      </c>
      <c r="G59" s="415" t="s">
        <v>87</v>
      </c>
      <c r="H59" s="363" t="s">
        <v>88</v>
      </c>
      <c r="L59" s="349"/>
    </row>
    <row r="60" spans="1:12" s="348" customFormat="1" ht="26.25" customHeight="1">
      <c r="A60" s="361" t="s">
        <v>89</v>
      </c>
      <c r="B60" s="362">
        <v>4</v>
      </c>
      <c r="C60" s="725" t="s">
        <v>90</v>
      </c>
      <c r="D60" s="728">
        <f>Lamivudine!D60</f>
        <v>949.55</v>
      </c>
      <c r="E60" s="416">
        <v>1</v>
      </c>
      <c r="F60" s="417">
        <v>5235351</v>
      </c>
      <c r="G60" s="418">
        <f>IF(ISBLANK(F60),"-",(F60/$D$50*$D$47*$B$68)*($B$57/$D$60))</f>
        <v>590.24769611531894</v>
      </c>
      <c r="H60" s="419">
        <f t="shared" ref="H60:H71" si="0">IF(ISBLANK(F60),"-",G60/$B$56)</f>
        <v>0.98374616019219829</v>
      </c>
      <c r="L60" s="349"/>
    </row>
    <row r="61" spans="1:12" s="348" customFormat="1" ht="26.25" customHeight="1">
      <c r="A61" s="361" t="s">
        <v>91</v>
      </c>
      <c r="B61" s="362">
        <v>50</v>
      </c>
      <c r="C61" s="726"/>
      <c r="D61" s="729"/>
      <c r="E61" s="420">
        <v>2</v>
      </c>
      <c r="F61" s="374">
        <v>5264627</v>
      </c>
      <c r="G61" s="421">
        <f>IF(ISBLANK(F61),"-",(F61/$D$50*$D$47*$B$68)*($B$57/$D$60))</f>
        <v>593.5483518978009</v>
      </c>
      <c r="H61" s="422">
        <f t="shared" si="0"/>
        <v>0.98924725316300155</v>
      </c>
      <c r="L61" s="349"/>
    </row>
    <row r="62" spans="1:12" s="348" customFormat="1" ht="26.25" customHeight="1">
      <c r="A62" s="361" t="s">
        <v>92</v>
      </c>
      <c r="B62" s="362">
        <v>1</v>
      </c>
      <c r="C62" s="726"/>
      <c r="D62" s="729"/>
      <c r="E62" s="420">
        <v>3</v>
      </c>
      <c r="F62" s="423">
        <v>5226593</v>
      </c>
      <c r="G62" s="421">
        <f>IF(ISBLANK(F62),"-",(F62/$D$50*$D$47*$B$68)*($B$57/$D$60))</f>
        <v>589.26029539995568</v>
      </c>
      <c r="H62" s="422">
        <f t="shared" si="0"/>
        <v>0.98210049233325947</v>
      </c>
      <c r="L62" s="349"/>
    </row>
    <row r="63" spans="1:12" ht="27" customHeight="1" thickBot="1">
      <c r="A63" s="361" t="s">
        <v>93</v>
      </c>
      <c r="B63" s="362">
        <v>1</v>
      </c>
      <c r="C63" s="727"/>
      <c r="D63" s="730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>
      <c r="A64" s="361" t="s">
        <v>94</v>
      </c>
      <c r="B64" s="362">
        <v>1</v>
      </c>
      <c r="C64" s="725" t="s">
        <v>95</v>
      </c>
      <c r="D64" s="728">
        <f>Lamivudine!D64</f>
        <v>943.45</v>
      </c>
      <c r="E64" s="416">
        <v>1</v>
      </c>
      <c r="F64" s="417">
        <v>5177559</v>
      </c>
      <c r="G64" s="426">
        <f>IF(ISBLANK(F64),"-",(F64/$D$50*$D$47*$B$68)*($B$57/$D$64))</f>
        <v>587.506265444321</v>
      </c>
      <c r="H64" s="427">
        <f t="shared" si="0"/>
        <v>0.97917710907386835</v>
      </c>
    </row>
    <row r="65" spans="1:8" ht="26.25" customHeight="1">
      <c r="A65" s="361" t="s">
        <v>96</v>
      </c>
      <c r="B65" s="362">
        <v>1</v>
      </c>
      <c r="C65" s="726"/>
      <c r="D65" s="729"/>
      <c r="E65" s="420">
        <v>2</v>
      </c>
      <c r="F65" s="374">
        <v>5275665</v>
      </c>
      <c r="G65" s="428">
        <f>IF(ISBLANK(F65),"-",(F65/$D$50*$D$47*$B$68)*($B$57/$D$64))</f>
        <v>598.63851708600771</v>
      </c>
      <c r="H65" s="429">
        <f t="shared" si="0"/>
        <v>0.9977308618100128</v>
      </c>
    </row>
    <row r="66" spans="1:8" ht="26.25" customHeight="1">
      <c r="A66" s="361" t="s">
        <v>97</v>
      </c>
      <c r="B66" s="362">
        <v>1</v>
      </c>
      <c r="C66" s="726"/>
      <c r="D66" s="729"/>
      <c r="E66" s="420">
        <v>3</v>
      </c>
      <c r="F66" s="374">
        <v>5327180</v>
      </c>
      <c r="G66" s="428">
        <f>IF(ISBLANK(F66),"-",(F66/$D$50*$D$47*$B$68)*($B$57/$D$64))</f>
        <v>604.48401015800641</v>
      </c>
      <c r="H66" s="429">
        <f t="shared" si="0"/>
        <v>1.0074733502633439</v>
      </c>
    </row>
    <row r="67" spans="1:8" ht="27" customHeight="1" thickBot="1">
      <c r="A67" s="361" t="s">
        <v>98</v>
      </c>
      <c r="B67" s="362">
        <v>1</v>
      </c>
      <c r="C67" s="727"/>
      <c r="D67" s="730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>
      <c r="A68" s="361" t="s">
        <v>99</v>
      </c>
      <c r="B68" s="432">
        <f>(B67/B66)*(B65/B64)*(B63/B62)*(B61/B60)*B59</f>
        <v>1250</v>
      </c>
      <c r="C68" s="725" t="s">
        <v>100</v>
      </c>
      <c r="D68" s="728">
        <f>Lamivudine!D68</f>
        <v>951.97</v>
      </c>
      <c r="E68" s="416">
        <v>1</v>
      </c>
      <c r="F68" s="417">
        <v>5208783</v>
      </c>
      <c r="G68" s="426">
        <f>IF(ISBLANK(F68),"-",(F68/$D$50*$D$47*$B$68)*($B$57/$D$68))</f>
        <v>585.75949522935457</v>
      </c>
      <c r="H68" s="422">
        <f t="shared" si="0"/>
        <v>0.97626582538225759</v>
      </c>
    </row>
    <row r="69" spans="1:8" ht="27" customHeight="1" thickBot="1">
      <c r="A69" s="407" t="s">
        <v>101</v>
      </c>
      <c r="B69" s="433">
        <f>(D47*B68)/B56*B57</f>
        <v>948.86649999999986</v>
      </c>
      <c r="C69" s="726"/>
      <c r="D69" s="729"/>
      <c r="E69" s="420">
        <v>2</v>
      </c>
      <c r="F69" s="374">
        <v>5248029</v>
      </c>
      <c r="G69" s="428">
        <f>IF(ISBLANK(F69),"-",(F69/$D$50*$D$47*$B$68)*($B$57/$D$68))</f>
        <v>590.17294788226252</v>
      </c>
      <c r="H69" s="422">
        <f t="shared" si="0"/>
        <v>0.98362157980377085</v>
      </c>
    </row>
    <row r="70" spans="1:8" ht="26.25" customHeight="1">
      <c r="A70" s="739" t="s">
        <v>74</v>
      </c>
      <c r="B70" s="740"/>
      <c r="C70" s="726"/>
      <c r="D70" s="729"/>
      <c r="E70" s="420">
        <v>3</v>
      </c>
      <c r="F70" s="374">
        <v>5288644</v>
      </c>
      <c r="G70" s="428">
        <f>IF(ISBLANK(F70),"-",(F70/$D$50*$D$47*$B$68)*($B$57/$D$68))</f>
        <v>594.74035295533622</v>
      </c>
      <c r="H70" s="422">
        <f t="shared" si="0"/>
        <v>0.99123392159222701</v>
      </c>
    </row>
    <row r="71" spans="1:8" ht="27" customHeight="1" thickBot="1">
      <c r="A71" s="741"/>
      <c r="B71" s="742"/>
      <c r="C71" s="731"/>
      <c r="D71" s="730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>
      <c r="A72" s="391"/>
      <c r="B72" s="391"/>
      <c r="C72" s="391"/>
      <c r="D72" s="391"/>
      <c r="E72" s="391"/>
      <c r="F72" s="435" t="s">
        <v>67</v>
      </c>
      <c r="G72" s="436">
        <f>AVERAGE(G60:G71)</f>
        <v>592.70643690759607</v>
      </c>
      <c r="H72" s="437">
        <f>AVERAGE(H60:H71)</f>
        <v>0.98784406151265991</v>
      </c>
    </row>
    <row r="73" spans="1:8" ht="26.25" customHeight="1">
      <c r="C73" s="391"/>
      <c r="D73" s="391"/>
      <c r="E73" s="391"/>
      <c r="F73" s="438" t="s">
        <v>80</v>
      </c>
      <c r="G73" s="439">
        <f>STDEV(G60:G71)/G72</f>
        <v>9.9526948122040469E-3</v>
      </c>
      <c r="H73" s="439">
        <f>STDEV(H60:H71)/H72</f>
        <v>9.9526948122155186E-3</v>
      </c>
    </row>
    <row r="74" spans="1:8" ht="27" customHeight="1" thickBot="1">
      <c r="A74" s="391"/>
      <c r="B74" s="391"/>
      <c r="C74" s="391"/>
      <c r="D74" s="391"/>
      <c r="E74" s="393"/>
      <c r="F74" s="440" t="s">
        <v>16</v>
      </c>
      <c r="G74" s="441">
        <f>COUNT(G60:G71)</f>
        <v>9</v>
      </c>
      <c r="H74" s="441">
        <f>COUNT(H60:H71)</f>
        <v>9</v>
      </c>
    </row>
    <row r="76" spans="1:8" ht="26.25" customHeight="1">
      <c r="A76" s="344" t="s">
        <v>102</v>
      </c>
      <c r="B76" s="345" t="s">
        <v>103</v>
      </c>
      <c r="C76" s="721" t="str">
        <f>B20</f>
        <v xml:space="preserve">Tenofovir Disoproxil Fumarate 300mg, Lamivudine 300mg &amp; Efavirenz 600mg </v>
      </c>
      <c r="D76" s="721"/>
      <c r="E76" s="333" t="s">
        <v>104</v>
      </c>
      <c r="F76" s="333"/>
      <c r="G76" s="442">
        <f>H72</f>
        <v>0.98784406151265991</v>
      </c>
      <c r="H76" s="350"/>
    </row>
    <row r="77" spans="1:8" ht="18.75">
      <c r="A77" s="343" t="s">
        <v>105</v>
      </c>
      <c r="B77" s="343" t="s">
        <v>106</v>
      </c>
    </row>
    <row r="78" spans="1:8" ht="18.75">
      <c r="A78" s="343"/>
      <c r="B78" s="343"/>
    </row>
    <row r="79" spans="1:8" ht="26.25" customHeight="1">
      <c r="A79" s="344" t="s">
        <v>4</v>
      </c>
      <c r="B79" s="732" t="str">
        <f>B26</f>
        <v>Effavirenz</v>
      </c>
      <c r="C79" s="732"/>
    </row>
    <row r="80" spans="1:8" ht="26.25" customHeight="1">
      <c r="A80" s="345" t="s">
        <v>44</v>
      </c>
      <c r="B80" s="732" t="str">
        <f>B27</f>
        <v>E15-3</v>
      </c>
      <c r="C80" s="732"/>
    </row>
    <row r="81" spans="1:12" ht="27" customHeight="1" thickBot="1">
      <c r="A81" s="345" t="s">
        <v>5</v>
      </c>
      <c r="B81" s="346">
        <f>B28</f>
        <v>99.3</v>
      </c>
    </row>
    <row r="82" spans="1:12" s="348" customFormat="1" ht="27" customHeight="1" thickBot="1">
      <c r="A82" s="345" t="s">
        <v>45</v>
      </c>
      <c r="B82" s="347">
        <v>0</v>
      </c>
      <c r="C82" s="733" t="s">
        <v>46</v>
      </c>
      <c r="D82" s="734"/>
      <c r="E82" s="734"/>
      <c r="F82" s="734"/>
      <c r="G82" s="735"/>
      <c r="I82" s="349"/>
      <c r="J82" s="349"/>
      <c r="K82" s="349"/>
      <c r="L82" s="349"/>
    </row>
    <row r="83" spans="1:12" s="348" customFormat="1" ht="19.5" customHeight="1" thickBot="1">
      <c r="A83" s="345" t="s">
        <v>47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>
      <c r="A84" s="345" t="s">
        <v>48</v>
      </c>
      <c r="B84" s="353">
        <v>1</v>
      </c>
      <c r="C84" s="736" t="s">
        <v>107</v>
      </c>
      <c r="D84" s="737"/>
      <c r="E84" s="737"/>
      <c r="F84" s="737"/>
      <c r="G84" s="737"/>
      <c r="H84" s="738"/>
      <c r="I84" s="349"/>
      <c r="J84" s="349"/>
      <c r="K84" s="349"/>
      <c r="L84" s="349"/>
    </row>
    <row r="85" spans="1:12" s="348" customFormat="1" ht="27" customHeight="1" thickBot="1">
      <c r="A85" s="345" t="s">
        <v>50</v>
      </c>
      <c r="B85" s="353">
        <v>1</v>
      </c>
      <c r="C85" s="736" t="s">
        <v>108</v>
      </c>
      <c r="D85" s="737"/>
      <c r="E85" s="737"/>
      <c r="F85" s="737"/>
      <c r="G85" s="737"/>
      <c r="H85" s="738"/>
      <c r="I85" s="349"/>
      <c r="J85" s="349"/>
      <c r="K85" s="349"/>
      <c r="L85" s="349"/>
    </row>
    <row r="86" spans="1:12" s="348" customFormat="1" ht="18.75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>
      <c r="A87" s="345" t="s">
        <v>52</v>
      </c>
      <c r="B87" s="358">
        <f>B84/B85</f>
        <v>1</v>
      </c>
      <c r="C87" s="333" t="s">
        <v>53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>
      <c r="A88" s="343"/>
      <c r="B88" s="343"/>
    </row>
    <row r="89" spans="1:12" ht="27" customHeight="1" thickBot="1">
      <c r="A89" s="359" t="s">
        <v>54</v>
      </c>
      <c r="B89" s="360">
        <v>50</v>
      </c>
      <c r="D89" s="443" t="s">
        <v>55</v>
      </c>
      <c r="E89" s="444"/>
      <c r="F89" s="723" t="s">
        <v>56</v>
      </c>
      <c r="G89" s="724"/>
    </row>
    <row r="90" spans="1:12" ht="27" customHeight="1" thickBot="1">
      <c r="A90" s="361" t="s">
        <v>57</v>
      </c>
      <c r="B90" s="362">
        <v>1</v>
      </c>
      <c r="C90" s="445" t="s">
        <v>58</v>
      </c>
      <c r="D90" s="364" t="s">
        <v>59</v>
      </c>
      <c r="E90" s="365" t="s">
        <v>60</v>
      </c>
      <c r="F90" s="364" t="s">
        <v>59</v>
      </c>
      <c r="G90" s="446" t="s">
        <v>60</v>
      </c>
      <c r="I90" s="367" t="s">
        <v>61</v>
      </c>
    </row>
    <row r="91" spans="1:12" ht="26.25" customHeight="1">
      <c r="A91" s="361" t="s">
        <v>62</v>
      </c>
      <c r="B91" s="362">
        <v>1</v>
      </c>
      <c r="C91" s="447">
        <v>1</v>
      </c>
      <c r="D91" s="369">
        <v>226370424</v>
      </c>
      <c r="E91" s="370">
        <f>IF(ISBLANK(D91),"-",$D$101/$D$98*D91)</f>
        <v>235340179.60548341</v>
      </c>
      <c r="F91" s="369">
        <v>244476054</v>
      </c>
      <c r="G91" s="371">
        <f>IF(ISBLANK(F91),"-",$D$101/$F$98*F91)</f>
        <v>232117646.27692398</v>
      </c>
      <c r="I91" s="372"/>
    </row>
    <row r="92" spans="1:12" ht="26.25" customHeight="1">
      <c r="A92" s="361" t="s">
        <v>63</v>
      </c>
      <c r="B92" s="362">
        <v>1</v>
      </c>
      <c r="C92" s="391">
        <v>2</v>
      </c>
      <c r="D92" s="374">
        <v>227162830</v>
      </c>
      <c r="E92" s="375">
        <f>IF(ISBLANK(D92),"-",$D$101/$D$98*D92)</f>
        <v>236163984.08959067</v>
      </c>
      <c r="F92" s="374">
        <v>245146496</v>
      </c>
      <c r="G92" s="376">
        <f>IF(ISBLANK(F92),"-",$D$101/$F$98*F92)</f>
        <v>232754197.04113582</v>
      </c>
      <c r="I92" s="714">
        <f>ABS((F96/D96*D95)-F95)/D95</f>
        <v>1.4623879900587387E-2</v>
      </c>
    </row>
    <row r="93" spans="1:12" ht="26.25" customHeight="1">
      <c r="A93" s="361" t="s">
        <v>64</v>
      </c>
      <c r="B93" s="362">
        <v>1</v>
      </c>
      <c r="C93" s="391">
        <v>3</v>
      </c>
      <c r="D93" s="374">
        <v>226478211</v>
      </c>
      <c r="E93" s="375">
        <f>IF(ISBLANK(D93),"-",$D$101/$D$98*D93)</f>
        <v>235452237.58324793</v>
      </c>
      <c r="F93" s="374">
        <v>245029218</v>
      </c>
      <c r="G93" s="376">
        <f>IF(ISBLANK(F93),"-",$D$101/$F$98*F93)</f>
        <v>232642847.51272735</v>
      </c>
      <c r="I93" s="714"/>
    </row>
    <row r="94" spans="1:12" ht="27" customHeight="1" thickBot="1">
      <c r="A94" s="361" t="s">
        <v>65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>
      <c r="A95" s="361" t="s">
        <v>66</v>
      </c>
      <c r="B95" s="362">
        <v>1</v>
      </c>
      <c r="C95" s="345" t="s">
        <v>67</v>
      </c>
      <c r="D95" s="450">
        <f>AVERAGE(D91:D94)</f>
        <v>226670488.33333334</v>
      </c>
      <c r="E95" s="384">
        <f>AVERAGE(E91:E94)</f>
        <v>235652133.75944066</v>
      </c>
      <c r="F95" s="451">
        <f>AVERAGE(F91:F94)</f>
        <v>244883922.66666666</v>
      </c>
      <c r="G95" s="452">
        <f>AVERAGE(G91:G94)</f>
        <v>232504896.94359574</v>
      </c>
    </row>
    <row r="96" spans="1:12" ht="26.25" customHeight="1">
      <c r="A96" s="361" t="s">
        <v>68</v>
      </c>
      <c r="B96" s="346">
        <v>1</v>
      </c>
      <c r="C96" s="453" t="s">
        <v>109</v>
      </c>
      <c r="D96" s="454">
        <v>29.06</v>
      </c>
      <c r="E96" s="333"/>
      <c r="F96" s="388">
        <v>31.82</v>
      </c>
    </row>
    <row r="97" spans="1:10" ht="26.25" customHeight="1">
      <c r="A97" s="361" t="s">
        <v>70</v>
      </c>
      <c r="B97" s="346">
        <v>1</v>
      </c>
      <c r="C97" s="455" t="s">
        <v>110</v>
      </c>
      <c r="D97" s="456">
        <f>D96*$B$87</f>
        <v>29.06</v>
      </c>
      <c r="E97" s="391"/>
      <c r="F97" s="390">
        <f>F96*$B$87</f>
        <v>31.82</v>
      </c>
    </row>
    <row r="98" spans="1:10" ht="19.5" customHeight="1" thickBot="1">
      <c r="A98" s="361" t="s">
        <v>72</v>
      </c>
      <c r="B98" s="391">
        <f>(B97/B96)*(B95/B94)*(B93/B92)*(B91/B90)*B89</f>
        <v>50</v>
      </c>
      <c r="C98" s="455" t="s">
        <v>111</v>
      </c>
      <c r="D98" s="457">
        <f>D97*$B$83/100</f>
        <v>28.856579999999997</v>
      </c>
      <c r="E98" s="393"/>
      <c r="F98" s="392">
        <f>F97*$B$83/100</f>
        <v>31.597260000000002</v>
      </c>
    </row>
    <row r="99" spans="1:10" ht="19.5" customHeight="1" thickBot="1">
      <c r="A99" s="715" t="s">
        <v>74</v>
      </c>
      <c r="B99" s="716"/>
      <c r="C99" s="455" t="s">
        <v>112</v>
      </c>
      <c r="D99" s="458">
        <f>D98/$B$98</f>
        <v>0.57713159999999997</v>
      </c>
      <c r="E99" s="393"/>
      <c r="F99" s="396">
        <f>F98/$B$98</f>
        <v>0.6319452000000001</v>
      </c>
      <c r="H99" s="386"/>
    </row>
    <row r="100" spans="1:10" ht="19.5" customHeight="1" thickBot="1">
      <c r="A100" s="717"/>
      <c r="B100" s="718"/>
      <c r="C100" s="455" t="s">
        <v>76</v>
      </c>
      <c r="D100" s="459">
        <f>$B$56/$B$116</f>
        <v>0.6</v>
      </c>
      <c r="F100" s="401"/>
      <c r="G100" s="460"/>
      <c r="H100" s="386"/>
    </row>
    <row r="101" spans="1:10" ht="18.75">
      <c r="C101" s="455" t="s">
        <v>77</v>
      </c>
      <c r="D101" s="456">
        <f>D100*$B$98</f>
        <v>30</v>
      </c>
      <c r="F101" s="401"/>
      <c r="H101" s="386"/>
    </row>
    <row r="102" spans="1:10" ht="19.5" customHeight="1" thickBot="1">
      <c r="C102" s="461" t="s">
        <v>78</v>
      </c>
      <c r="D102" s="462">
        <f>D101/B34</f>
        <v>30</v>
      </c>
      <c r="F102" s="405"/>
      <c r="H102" s="386"/>
      <c r="J102" s="463"/>
    </row>
    <row r="103" spans="1:10" ht="18.75">
      <c r="C103" s="464" t="s">
        <v>113</v>
      </c>
      <c r="D103" s="465">
        <f>AVERAGE(E91:E94,G91:G94)</f>
        <v>234078515.35151818</v>
      </c>
      <c r="F103" s="405"/>
      <c r="G103" s="460"/>
      <c r="H103" s="386"/>
      <c r="J103" s="466"/>
    </row>
    <row r="104" spans="1:10" ht="18.75">
      <c r="C104" s="438" t="s">
        <v>80</v>
      </c>
      <c r="D104" s="467">
        <f>STDEV(E91:E94,G91:G94)/D103</f>
        <v>7.5188587530800079E-3</v>
      </c>
      <c r="F104" s="405"/>
      <c r="H104" s="386"/>
      <c r="J104" s="466"/>
    </row>
    <row r="105" spans="1:10" ht="19.5" customHeight="1" thickBot="1">
      <c r="C105" s="440" t="s">
        <v>16</v>
      </c>
      <c r="D105" s="468">
        <f>COUNT(E91:E94,G91:G94)</f>
        <v>6</v>
      </c>
      <c r="F105" s="405"/>
      <c r="H105" s="386"/>
      <c r="J105" s="466"/>
    </row>
    <row r="106" spans="1:10" ht="19.5" customHeight="1" thickBot="1">
      <c r="A106" s="409"/>
      <c r="B106" s="409"/>
      <c r="C106" s="409"/>
      <c r="D106" s="409"/>
      <c r="E106" s="409"/>
    </row>
    <row r="107" spans="1:10" ht="26.25" customHeight="1">
      <c r="A107" s="359" t="s">
        <v>114</v>
      </c>
      <c r="B107" s="360">
        <v>1000</v>
      </c>
      <c r="C107" s="443" t="s">
        <v>115</v>
      </c>
      <c r="D107" s="469" t="s">
        <v>59</v>
      </c>
      <c r="E107" s="470" t="s">
        <v>116</v>
      </c>
      <c r="F107" s="471" t="s">
        <v>117</v>
      </c>
    </row>
    <row r="108" spans="1:10" ht="26.25" customHeight="1">
      <c r="A108" s="361" t="s">
        <v>118</v>
      </c>
      <c r="B108" s="362">
        <v>1</v>
      </c>
      <c r="C108" s="472">
        <v>1</v>
      </c>
      <c r="D108" s="473">
        <v>228663618</v>
      </c>
      <c r="E108" s="474">
        <f t="shared" ref="E108:E113" si="1">IF(ISBLANK(D108),"-",D108/$D$103*$D$100*$B$116)</f>
        <v>586.12030494967917</v>
      </c>
      <c r="F108" s="475">
        <f t="shared" ref="F108:F113" si="2">IF(ISBLANK(D108), "-", E108/$B$56)</f>
        <v>0.97686717491613195</v>
      </c>
    </row>
    <row r="109" spans="1:10" ht="26.25" customHeight="1">
      <c r="A109" s="361" t="s">
        <v>91</v>
      </c>
      <c r="B109" s="362">
        <v>1</v>
      </c>
      <c r="C109" s="472">
        <v>2</v>
      </c>
      <c r="D109" s="473">
        <v>220830091</v>
      </c>
      <c r="E109" s="476">
        <f t="shared" si="1"/>
        <v>566.04107558109843</v>
      </c>
      <c r="F109" s="477">
        <f t="shared" si="2"/>
        <v>0.94340179263516399</v>
      </c>
    </row>
    <row r="110" spans="1:10" ht="26.25" customHeight="1">
      <c r="A110" s="361" t="s">
        <v>92</v>
      </c>
      <c r="B110" s="362">
        <v>1</v>
      </c>
      <c r="C110" s="472">
        <v>3</v>
      </c>
      <c r="D110" s="473">
        <v>219509745</v>
      </c>
      <c r="E110" s="476">
        <f t="shared" si="1"/>
        <v>562.65670859290913</v>
      </c>
      <c r="F110" s="477">
        <f t="shared" si="2"/>
        <v>0.93776118098818184</v>
      </c>
    </row>
    <row r="111" spans="1:10" ht="26.25" customHeight="1">
      <c r="A111" s="361" t="s">
        <v>93</v>
      </c>
      <c r="B111" s="362">
        <v>1</v>
      </c>
      <c r="C111" s="472">
        <v>4</v>
      </c>
      <c r="D111" s="473">
        <v>219872880</v>
      </c>
      <c r="E111" s="476">
        <f t="shared" si="1"/>
        <v>563.58751165987508</v>
      </c>
      <c r="F111" s="477">
        <f t="shared" si="2"/>
        <v>0.9393125194331251</v>
      </c>
    </row>
    <row r="112" spans="1:10" ht="26.25" customHeight="1">
      <c r="A112" s="361" t="s">
        <v>94</v>
      </c>
      <c r="B112" s="362">
        <v>1</v>
      </c>
      <c r="C112" s="472">
        <v>5</v>
      </c>
      <c r="D112" s="473">
        <v>227262555</v>
      </c>
      <c r="E112" s="476">
        <f t="shared" si="1"/>
        <v>582.52904071623334</v>
      </c>
      <c r="F112" s="477">
        <f t="shared" si="2"/>
        <v>0.97088173452705562</v>
      </c>
    </row>
    <row r="113" spans="1:10" ht="26.25" customHeight="1">
      <c r="A113" s="361" t="s">
        <v>96</v>
      </c>
      <c r="B113" s="362">
        <v>1</v>
      </c>
      <c r="C113" s="478">
        <v>6</v>
      </c>
      <c r="D113" s="479">
        <v>227482658</v>
      </c>
      <c r="E113" s="480">
        <f t="shared" si="1"/>
        <v>583.09321808125844</v>
      </c>
      <c r="F113" s="481">
        <f t="shared" si="2"/>
        <v>0.97182203013543078</v>
      </c>
    </row>
    <row r="114" spans="1:10" ht="26.25" customHeight="1">
      <c r="A114" s="361" t="s">
        <v>97</v>
      </c>
      <c r="B114" s="362">
        <v>1</v>
      </c>
      <c r="C114" s="472"/>
      <c r="D114" s="391"/>
      <c r="E114" s="333"/>
      <c r="F114" s="482"/>
    </row>
    <row r="115" spans="1:10" ht="26.25" customHeight="1">
      <c r="A115" s="361" t="s">
        <v>98</v>
      </c>
      <c r="B115" s="362">
        <v>1</v>
      </c>
      <c r="C115" s="472"/>
      <c r="D115" s="483" t="s">
        <v>67</v>
      </c>
      <c r="E115" s="484">
        <f>AVERAGE(E108:E113)</f>
        <v>574.00464326350891</v>
      </c>
      <c r="F115" s="485">
        <f>AVERAGE(F108:F113)</f>
        <v>0.95667440543918147</v>
      </c>
    </row>
    <row r="116" spans="1:10" ht="27" customHeight="1" thickBot="1">
      <c r="A116" s="361" t="s">
        <v>99</v>
      </c>
      <c r="B116" s="373">
        <f>(B115/B114)*(B113/B112)*(B111/B110)*(B109/B108)*B107</f>
        <v>1000</v>
      </c>
      <c r="C116" s="486"/>
      <c r="D116" s="345" t="s">
        <v>80</v>
      </c>
      <c r="E116" s="487">
        <f>STDEV(E108:E113)/E115</f>
        <v>1.9128217157132248E-2</v>
      </c>
      <c r="F116" s="487">
        <f>STDEV(F108:F113)/F115</f>
        <v>1.9128217157130072E-2</v>
      </c>
      <c r="I116" s="333"/>
    </row>
    <row r="117" spans="1:10" ht="27" customHeight="1" thickBot="1">
      <c r="A117" s="715" t="s">
        <v>74</v>
      </c>
      <c r="B117" s="719"/>
      <c r="C117" s="488"/>
      <c r="D117" s="489" t="s">
        <v>16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>
      <c r="A118" s="717"/>
      <c r="B118" s="720"/>
      <c r="C118" s="333"/>
      <c r="D118" s="333"/>
      <c r="E118" s="333"/>
      <c r="F118" s="391"/>
      <c r="G118" s="333"/>
      <c r="H118" s="333"/>
      <c r="I118" s="333"/>
    </row>
    <row r="119" spans="1:10" ht="18.75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>
      <c r="A120" s="344" t="s">
        <v>102</v>
      </c>
      <c r="B120" s="345" t="s">
        <v>119</v>
      </c>
      <c r="C120" s="721" t="str">
        <f>B20</f>
        <v xml:space="preserve">Tenofovir Disoproxil Fumarate 300mg, Lamivudine 300mg &amp; Efavirenz 600mg </v>
      </c>
      <c r="D120" s="721"/>
      <c r="E120" s="333" t="s">
        <v>120</v>
      </c>
      <c r="F120" s="333"/>
      <c r="G120" s="442">
        <f>F115</f>
        <v>0.95667440543918147</v>
      </c>
      <c r="H120" s="333"/>
      <c r="I120" s="333"/>
    </row>
    <row r="121" spans="1:10" ht="19.5" customHeight="1" thickBot="1">
      <c r="A121" s="492"/>
      <c r="B121" s="492"/>
      <c r="C121" s="493"/>
      <c r="D121" s="493"/>
      <c r="E121" s="493"/>
      <c r="F121" s="493"/>
      <c r="G121" s="493"/>
      <c r="H121" s="493"/>
    </row>
    <row r="122" spans="1:10" ht="18.75">
      <c r="B122" s="722" t="s">
        <v>22</v>
      </c>
      <c r="C122" s="722"/>
      <c r="E122" s="445" t="s">
        <v>23</v>
      </c>
      <c r="F122" s="494"/>
      <c r="G122" s="722" t="s">
        <v>24</v>
      </c>
      <c r="H122" s="722"/>
    </row>
    <row r="123" spans="1:10" ht="69.95" customHeight="1">
      <c r="A123" s="344" t="s">
        <v>25</v>
      </c>
      <c r="B123" s="495"/>
      <c r="C123" s="495"/>
      <c r="E123" s="495"/>
      <c r="F123" s="333"/>
      <c r="G123" s="495"/>
      <c r="H123" s="495"/>
    </row>
    <row r="124" spans="1:10" ht="69.95" customHeight="1">
      <c r="A124" s="344" t="s">
        <v>26</v>
      </c>
      <c r="B124" s="496"/>
      <c r="C124" s="496"/>
      <c r="E124" s="496"/>
      <c r="F124" s="333"/>
      <c r="G124" s="497"/>
      <c r="H124" s="497"/>
    </row>
    <row r="125" spans="1:10" ht="18.75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>
      <c r="A250" s="332">
        <v>5</v>
      </c>
    </row>
  </sheetData>
  <sheetProtection password="F258" sheet="1" objects="1" scenarios="1" formatCells="0" formatColumn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2016-09-27T09:09:02Z</cp:lastPrinted>
  <dcterms:created xsi:type="dcterms:W3CDTF">2005-07-05T10:19:27Z</dcterms:created>
  <dcterms:modified xsi:type="dcterms:W3CDTF">2016-09-28T08:11:49Z</dcterms:modified>
</cp:coreProperties>
</file>