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9045" activeTab="6"/>
  </bookViews>
  <sheets>
    <sheet name="SST lam" sheetId="7" r:id="rId1"/>
    <sheet name="SST TDF" sheetId="6" r:id="rId2"/>
    <sheet name="SST Efav" sheetId="8" r:id="rId3"/>
    <sheet name="Uniformity" sheetId="2" r:id="rId4"/>
    <sheet name="Tenofovir disoproxil fumarate" sheetId="3" r:id="rId5"/>
    <sheet name="Lamivudine" sheetId="4" r:id="rId6"/>
    <sheet name="Efavirenz" sheetId="5" r:id="rId7"/>
  </sheets>
  <externalReferences>
    <externalReference r:id="rId8"/>
    <externalReference r:id="rId9"/>
  </externalReferences>
  <definedNames>
    <definedName name="_xlnm.Print_Area" localSheetId="6">Efavirenz!$A$1:$I$129</definedName>
    <definedName name="_xlnm.Print_Area" localSheetId="5">Lamivudine!$A$1:$I$129</definedName>
    <definedName name="_xlnm.Print_Area" localSheetId="2">'SST Efav'!$A$1:$G$48</definedName>
    <definedName name="_xlnm.Print_Area" localSheetId="0">'SST lam'!$A$3:$G$49</definedName>
    <definedName name="_xlnm.Print_Area" localSheetId="1">'SST TDF'!$A$1:$G$47</definedName>
    <definedName name="_xlnm.Print_Area" localSheetId="4">'Tenofovir disoproxil fumarate'!$A$1:$I$129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39" i="8" l="1"/>
  <c r="E37" i="8"/>
  <c r="D37" i="8"/>
  <c r="C37" i="8"/>
  <c r="B37" i="8"/>
  <c r="B38" i="8" s="1"/>
  <c r="B27" i="8"/>
  <c r="B28" i="8" s="1"/>
  <c r="B18" i="8"/>
  <c r="E16" i="8"/>
  <c r="D16" i="8"/>
  <c r="C16" i="8"/>
  <c r="B16" i="8"/>
  <c r="B17" i="8" s="1"/>
  <c r="B7" i="8"/>
  <c r="B41" i="7" l="1"/>
  <c r="E39" i="7"/>
  <c r="D39" i="7"/>
  <c r="C39" i="7"/>
  <c r="B39" i="7"/>
  <c r="B40" i="7" s="1"/>
  <c r="B29" i="7"/>
  <c r="B30" i="7" s="1"/>
  <c r="B20" i="7"/>
  <c r="B19" i="7"/>
  <c r="B9" i="7"/>
  <c r="B39" i="6"/>
  <c r="E37" i="6"/>
  <c r="D37" i="6"/>
  <c r="C37" i="6"/>
  <c r="B37" i="6"/>
  <c r="B38" i="6" s="1"/>
  <c r="B27" i="6"/>
  <c r="B28" i="6" s="1"/>
  <c r="B25" i="6"/>
  <c r="B18" i="6"/>
  <c r="B17" i="6"/>
  <c r="B7" i="6"/>
  <c r="D64" i="4" l="1"/>
  <c r="D64" i="5" s="1"/>
  <c r="D68" i="4"/>
  <c r="D68" i="5"/>
  <c r="D60" i="4"/>
  <c r="D60" i="5" s="1"/>
  <c r="C124" i="5" l="1"/>
  <c r="B116" i="5"/>
  <c r="D100" i="5" s="1"/>
  <c r="B98" i="5"/>
  <c r="F95" i="5"/>
  <c r="D95" i="5"/>
  <c r="B87" i="5"/>
  <c r="F97" i="5" s="1"/>
  <c r="B83" i="5"/>
  <c r="B79" i="5"/>
  <c r="C76" i="5"/>
  <c r="B68" i="5"/>
  <c r="C56" i="5"/>
  <c r="B55" i="5"/>
  <c r="B45" i="5"/>
  <c r="D48" i="5" s="1"/>
  <c r="F42" i="5"/>
  <c r="D42" i="5"/>
  <c r="G41" i="5"/>
  <c r="B34" i="5"/>
  <c r="F44" i="5" s="1"/>
  <c r="B30" i="5"/>
  <c r="C124" i="4"/>
  <c r="B116" i="4"/>
  <c r="D100" i="4" s="1"/>
  <c r="B98" i="4"/>
  <c r="F95" i="4"/>
  <c r="D95" i="4"/>
  <c r="B87" i="4"/>
  <c r="F97" i="4" s="1"/>
  <c r="B83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49" i="2" s="1"/>
  <c r="C45" i="2"/>
  <c r="C19" i="2"/>
  <c r="D27" i="2" l="1"/>
  <c r="D35" i="2"/>
  <c r="D28" i="2"/>
  <c r="D25" i="2"/>
  <c r="D33" i="2"/>
  <c r="D37" i="2"/>
  <c r="D43" i="2"/>
  <c r="D26" i="2"/>
  <c r="D30" i="2"/>
  <c r="D34" i="2"/>
  <c r="D39" i="2"/>
  <c r="C50" i="2"/>
  <c r="D36" i="2"/>
  <c r="D31" i="2"/>
  <c r="D40" i="2"/>
  <c r="D24" i="2"/>
  <c r="D32" i="2"/>
  <c r="D41" i="2"/>
  <c r="C49" i="2"/>
  <c r="D29" i="2"/>
  <c r="F45" i="5"/>
  <c r="F46" i="5" s="1"/>
  <c r="I39" i="5"/>
  <c r="I39" i="4"/>
  <c r="F45" i="4"/>
  <c r="F46" i="4" s="1"/>
  <c r="D44" i="4"/>
  <c r="D45" i="4" s="1"/>
  <c r="I39" i="3"/>
  <c r="D45" i="3"/>
  <c r="D46" i="3" s="1"/>
  <c r="D101" i="5"/>
  <c r="D102" i="5" s="1"/>
  <c r="I92" i="5"/>
  <c r="D97" i="5"/>
  <c r="D98" i="5" s="1"/>
  <c r="F98" i="5"/>
  <c r="F99" i="5" s="1"/>
  <c r="D101" i="4"/>
  <c r="F98" i="4"/>
  <c r="G92" i="4" s="1"/>
  <c r="I92" i="3"/>
  <c r="D101" i="3"/>
  <c r="D102" i="3" s="1"/>
  <c r="F98" i="3"/>
  <c r="F99" i="3" s="1"/>
  <c r="D49" i="3"/>
  <c r="B69" i="3"/>
  <c r="G39" i="4"/>
  <c r="D49" i="4"/>
  <c r="D97" i="4"/>
  <c r="D98" i="4" s="1"/>
  <c r="F44" i="3"/>
  <c r="F45" i="3" s="1"/>
  <c r="F46" i="3" s="1"/>
  <c r="D102" i="4"/>
  <c r="G39" i="5"/>
  <c r="G40" i="5"/>
  <c r="D49" i="5"/>
  <c r="G38" i="5"/>
  <c r="B57" i="5"/>
  <c r="B69" i="5" s="1"/>
  <c r="B57" i="4"/>
  <c r="B69" i="4" s="1"/>
  <c r="D50" i="2"/>
  <c r="B49" i="2"/>
  <c r="D42" i="2"/>
  <c r="D38" i="2"/>
  <c r="B57" i="3"/>
  <c r="D97" i="3"/>
  <c r="D98" i="3" s="1"/>
  <c r="D99" i="3" s="1"/>
  <c r="I92" i="4"/>
  <c r="D44" i="5"/>
  <c r="D45" i="5" s="1"/>
  <c r="E39" i="3" l="1"/>
  <c r="G42" i="5"/>
  <c r="G40" i="4"/>
  <c r="D46" i="4"/>
  <c r="E41" i="4"/>
  <c r="E38" i="4"/>
  <c r="G38" i="4"/>
  <c r="G41" i="4"/>
  <c r="E40" i="4"/>
  <c r="E39" i="4"/>
  <c r="G41" i="3"/>
  <c r="G40" i="3"/>
  <c r="E40" i="3"/>
  <c r="E41" i="3"/>
  <c r="E38" i="3"/>
  <c r="G39" i="3"/>
  <c r="G92" i="5"/>
  <c r="G94" i="5"/>
  <c r="G93" i="5"/>
  <c r="G91" i="5"/>
  <c r="F99" i="4"/>
  <c r="G94" i="4"/>
  <c r="G93" i="4"/>
  <c r="G91" i="4"/>
  <c r="G94" i="3"/>
  <c r="E91" i="3"/>
  <c r="G93" i="3"/>
  <c r="G91" i="3"/>
  <c r="G92" i="3"/>
  <c r="D46" i="5"/>
  <c r="E38" i="5"/>
  <c r="D99" i="5"/>
  <c r="E93" i="5"/>
  <c r="D99" i="4"/>
  <c r="E94" i="4"/>
  <c r="E92" i="5"/>
  <c r="E94" i="5"/>
  <c r="E39" i="5"/>
  <c r="E91" i="4"/>
  <c r="E93" i="4"/>
  <c r="E93" i="3"/>
  <c r="E91" i="5"/>
  <c r="E92" i="3"/>
  <c r="E40" i="5"/>
  <c r="E92" i="4"/>
  <c r="E94" i="3"/>
  <c r="G38" i="3"/>
  <c r="E41" i="5"/>
  <c r="D50" i="4" l="1"/>
  <c r="G66" i="4" s="1"/>
  <c r="H66" i="4" s="1"/>
  <c r="G42" i="4"/>
  <c r="D52" i="4"/>
  <c r="E42" i="4"/>
  <c r="E42" i="3"/>
  <c r="G42" i="3"/>
  <c r="D50" i="3"/>
  <c r="G62" i="3" s="1"/>
  <c r="H62" i="3" s="1"/>
  <c r="D52" i="3"/>
  <c r="G95" i="5"/>
  <c r="G95" i="4"/>
  <c r="D103" i="3"/>
  <c r="E110" i="3" s="1"/>
  <c r="F110" i="3" s="1"/>
  <c r="D105" i="3"/>
  <c r="E95" i="3"/>
  <c r="G95" i="3"/>
  <c r="D50" i="5"/>
  <c r="E42" i="5"/>
  <c r="D52" i="5"/>
  <c r="E95" i="4"/>
  <c r="D105" i="4"/>
  <c r="D103" i="4"/>
  <c r="D103" i="5"/>
  <c r="E95" i="5"/>
  <c r="D105" i="5"/>
  <c r="G67" i="4"/>
  <c r="H67" i="4" s="1"/>
  <c r="G61" i="4"/>
  <c r="H61" i="4" s="1"/>
  <c r="D51" i="4" l="1"/>
  <c r="G64" i="4"/>
  <c r="H64" i="4" s="1"/>
  <c r="G60" i="4"/>
  <c r="G68" i="4"/>
  <c r="H68" i="4" s="1"/>
  <c r="G69" i="4"/>
  <c r="H69" i="4" s="1"/>
  <c r="G65" i="4"/>
  <c r="H65" i="4" s="1"/>
  <c r="G62" i="4"/>
  <c r="H62" i="4" s="1"/>
  <c r="G71" i="4"/>
  <c r="H71" i="4" s="1"/>
  <c r="G70" i="4"/>
  <c r="H70" i="4" s="1"/>
  <c r="G63" i="4"/>
  <c r="H63" i="4" s="1"/>
  <c r="G60" i="3"/>
  <c r="H60" i="3" s="1"/>
  <c r="G63" i="3"/>
  <c r="H63" i="3" s="1"/>
  <c r="G71" i="3"/>
  <c r="H71" i="3" s="1"/>
  <c r="G69" i="3"/>
  <c r="H69" i="3" s="1"/>
  <c r="G67" i="3"/>
  <c r="H67" i="3" s="1"/>
  <c r="G65" i="3"/>
  <c r="H65" i="3" s="1"/>
  <c r="G61" i="3"/>
  <c r="H61" i="3" s="1"/>
  <c r="G70" i="3"/>
  <c r="H70" i="3" s="1"/>
  <c r="D51" i="3"/>
  <c r="G68" i="3"/>
  <c r="H68" i="3" s="1"/>
  <c r="G66" i="3"/>
  <c r="H66" i="3" s="1"/>
  <c r="G64" i="3"/>
  <c r="H64" i="3" s="1"/>
  <c r="E109" i="3"/>
  <c r="F109" i="3" s="1"/>
  <c r="E112" i="3"/>
  <c r="F112" i="3" s="1"/>
  <c r="D104" i="3"/>
  <c r="E113" i="3"/>
  <c r="F113" i="3" s="1"/>
  <c r="E108" i="3"/>
  <c r="F108" i="3" s="1"/>
  <c r="E111" i="3"/>
  <c r="F111" i="3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69" i="5"/>
  <c r="H69" i="5" s="1"/>
  <c r="G62" i="5"/>
  <c r="H62" i="5" s="1"/>
  <c r="G60" i="5"/>
  <c r="G66" i="5"/>
  <c r="H66" i="5" s="1"/>
  <c r="G71" i="5"/>
  <c r="H71" i="5" s="1"/>
  <c r="G64" i="5"/>
  <c r="H64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H60" i="4"/>
  <c r="H74" i="4" s="1"/>
  <c r="G74" i="4"/>
  <c r="G74" i="3"/>
  <c r="G72" i="3"/>
  <c r="G73" i="3" s="1"/>
  <c r="E117" i="3"/>
  <c r="E119" i="3"/>
  <c r="E120" i="3"/>
  <c r="E115" i="3"/>
  <c r="E116" i="3" s="1"/>
  <c r="E115" i="4"/>
  <c r="E116" i="4" s="1"/>
  <c r="E119" i="4"/>
  <c r="F108" i="4"/>
  <c r="E120" i="4"/>
  <c r="E117" i="4"/>
  <c r="F119" i="3"/>
  <c r="D125" i="3"/>
  <c r="F117" i="3"/>
  <c r="F115" i="3"/>
  <c r="F120" i="3"/>
  <c r="F125" i="3"/>
  <c r="G74" i="5"/>
  <c r="G72" i="5"/>
  <c r="G73" i="5" s="1"/>
  <c r="H60" i="5"/>
  <c r="H74" i="3"/>
  <c r="H72" i="3"/>
  <c r="E120" i="5"/>
  <c r="E117" i="5"/>
  <c r="F108" i="5"/>
  <c r="E115" i="5"/>
  <c r="E116" i="5" s="1"/>
  <c r="E119" i="5"/>
  <c r="H72" i="4" l="1"/>
  <c r="G76" i="4" s="1"/>
  <c r="G76" i="3"/>
  <c r="H73" i="3"/>
  <c r="F125" i="5"/>
  <c r="F120" i="5"/>
  <c r="F117" i="5"/>
  <c r="D125" i="5"/>
  <c r="F115" i="5"/>
  <c r="F119" i="5"/>
  <c r="G124" i="3"/>
  <c r="F116" i="3"/>
  <c r="H74" i="5"/>
  <c r="H72" i="5"/>
  <c r="F119" i="4"/>
  <c r="F125" i="4"/>
  <c r="F120" i="4"/>
  <c r="F117" i="4"/>
  <c r="D125" i="4"/>
  <c r="F115" i="4"/>
  <c r="H73" i="4" l="1"/>
  <c r="G76" i="5"/>
  <c r="H73" i="5"/>
  <c r="G124" i="5"/>
  <c r="F116" i="5"/>
  <c r="G124" i="4"/>
  <c r="F116" i="4"/>
</calcChain>
</file>

<file path=xl/sharedStrings.xml><?xml version="1.0" encoding="utf-8"?>
<sst xmlns="http://schemas.openxmlformats.org/spreadsheetml/2006/main" count="669" uniqueCount="145">
  <si>
    <t>HPLC System Suitability Report</t>
  </si>
  <si>
    <t>Analysis Data</t>
  </si>
  <si>
    <t>Assay</t>
  </si>
  <si>
    <t>Sample(s)</t>
  </si>
  <si>
    <t>Reference Substance:</t>
  </si>
  <si>
    <t>TENOFOVIR DISOPROXIL FUMARATE, LAMIVUDINE &amp; EFAVIRENZ TABLETS</t>
  </si>
  <si>
    <t>% age Purity:</t>
  </si>
  <si>
    <t>NDQB201608084</t>
  </si>
  <si>
    <t>Weight (mg):</t>
  </si>
  <si>
    <t>Tenofovir Disoproxil Fumarate 300mg, Lamivudine 300mg &amp; Efavirenz 600mg tablets</t>
  </si>
  <si>
    <t>Standard Conc (mg/mL):</t>
  </si>
  <si>
    <t>Each film coated tablet contains Tenofovir Disoproxil Fumarate 300mg, Lamivudine 300mg &amp; Efavirenz 600mg tablets</t>
  </si>
  <si>
    <t>2016-09-01 10:42:04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</si>
  <si>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</si>
  <si>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</si>
  <si>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</si>
  <si>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</si>
  <si>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</si>
  <si>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</si>
  <si>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</si>
  <si>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</si>
  <si>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</si>
  <si>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</si>
  <si>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</si>
  <si>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</si>
  <si>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</si>
  <si>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</si>
  <si>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</si>
  <si>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</si>
  <si>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</si>
  <si>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</si>
  <si>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</si>
  <si>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</si>
  <si>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</si>
  <si>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</si>
  <si>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</si>
  <si>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</si>
  <si>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</si>
  <si>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</si>
  <si>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</si>
  <si>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</si>
  <si>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</si>
  <si>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</si>
  <si>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</si>
  <si>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</si>
  <si>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</si>
  <si>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</si>
  <si>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</si>
  <si>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</si>
  <si>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</si>
  <si>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</si>
  <si>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</si>
  <si>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</si>
  <si>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</si>
  <si>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</si>
  <si>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</si>
  <si>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</si>
  <si>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</si>
  <si>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</si>
  <si>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</si>
  <si>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</si>
  <si>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</si>
  <si>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</si>
  <si>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</si>
  <si>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</si>
  <si>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</si>
  <si>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</si>
  <si>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</si>
  <si>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</si>
  <si>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</si>
  <si>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</si>
  <si>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</si>
  <si>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</si>
  <si>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</si>
  <si>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</si>
  <si>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</si>
  <si>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</si>
  <si>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</si>
  <si>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</si>
  <si>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</si>
  <si>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</si>
  <si>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</si>
  <si>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</si>
  <si>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</si>
  <si>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</si>
  <si>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</si>
  <si>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</si>
  <si>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</si>
  <si>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</si>
  <si>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</si>
  <si>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</si>
  <si>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</si>
  <si>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</si>
  <si>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</si>
  <si>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</si>
  <si>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</si>
  <si>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</si>
  <si>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</si>
  <si>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</si>
  <si>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</si>
  <si>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</si>
  <si>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</si>
  <si>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</si>
  <si>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</si>
  <si>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</si>
  <si>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</si>
  <si>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</si>
  <si>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</si>
  <si>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</si>
  <si>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</si>
  <si>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</si>
  <si>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</si>
  <si>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</si>
  <si>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</si>
  <si>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</si>
  <si>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</si>
  <si>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</si>
  <si>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</si>
  <si>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</si>
  <si>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</si>
  <si>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</si>
  <si>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</si>
  <si>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</si>
  <si>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</si>
  <si>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</si>
  <si>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</si>
  <si>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</si>
  <si>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</si>
  <si>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Tenofovir Disoproxil Fumarate </t>
  </si>
  <si>
    <t>T11-8</t>
  </si>
  <si>
    <t>Lamivudine</t>
  </si>
  <si>
    <t>103M88</t>
  </si>
  <si>
    <t>Efavirenz</t>
  </si>
  <si>
    <t>E35-10</t>
  </si>
  <si>
    <t xml:space="preserve"> Lamivudine </t>
  </si>
  <si>
    <t xml:space="preserve"> Efavirenz </t>
  </si>
  <si>
    <t>TENOFOVIR/LAMIVUDINE/EFAVIRENZ 300/300/600 MG</t>
  </si>
  <si>
    <t>Tenofovir DF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</si>
  <si>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</si>
  <si>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</si>
  <si>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</si>
  <si>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RUTTO KENNEDY</t>
  </si>
  <si>
    <t>25/11/2016</t>
  </si>
  <si>
    <t>L3-10</t>
  </si>
  <si>
    <t>E15-3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</si>
</sst>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u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0" fontId="25" fillId="2" borderId="0"/>
    <xf numFmtId="0" fontId="25" fillId="2" borderId="0"/>
    <xf numFmtId="0" fontId="24" fillId="2" borderId="0"/>
    <xf numFmtId="0" fontId="25" fillId="2" borderId="0"/>
    <xf numFmtId="0" fontId="24" fillId="2" borderId="0"/>
    <xf numFmtId="0" fontId="25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9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0" fontId="27" fillId="2" borderId="0" xfId="1" applyFont="1" applyFill="1"/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9" fillId="2" borderId="0" xfId="1" applyFont="1" applyFill="1" applyAlignment="1">
      <alignment horizontal="center" vertical="top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2" fontId="29" fillId="2" borderId="0" xfId="1" applyNumberFormat="1" applyFont="1" applyFill="1" applyAlignment="1">
      <alignment horizontal="left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5" fillId="2" borderId="0" xfId="1" applyFill="1"/>
    <xf numFmtId="0" fontId="32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32" fillId="2" borderId="0" xfId="1" applyFont="1" applyFill="1" applyAlignment="1">
      <alignment horizontal="right"/>
    </xf>
    <xf numFmtId="0" fontId="27" fillId="2" borderId="7" xfId="1" applyFont="1" applyFill="1" applyBorder="1"/>
    <xf numFmtId="0" fontId="32" fillId="2" borderId="11" xfId="1" applyFont="1" applyFill="1" applyBorder="1"/>
    <xf numFmtId="0" fontId="27" fillId="2" borderId="11" xfId="1" applyFont="1" applyFill="1" applyBorder="1"/>
    <xf numFmtId="0" fontId="27" fillId="2" borderId="0" xfId="6" applyFont="1" applyFill="1"/>
    <xf numFmtId="0" fontId="28" fillId="2" borderId="0" xfId="6" applyFont="1" applyFill="1"/>
    <xf numFmtId="0" fontId="28" fillId="2" borderId="0" xfId="6" applyFont="1" applyFill="1" applyAlignment="1">
      <alignment horizontal="left"/>
    </xf>
    <xf numFmtId="0" fontId="29" fillId="2" borderId="0" xfId="6" applyFont="1" applyFill="1" applyAlignment="1">
      <alignment horizontal="left"/>
    </xf>
    <xf numFmtId="0" fontId="29" fillId="2" borderId="0" xfId="6" applyFont="1" applyFill="1" applyAlignment="1">
      <alignment horizontal="center"/>
    </xf>
    <xf numFmtId="0" fontId="30" fillId="2" borderId="0" xfId="6" applyFont="1" applyFill="1"/>
    <xf numFmtId="0" fontId="29" fillId="2" borderId="0" xfId="6" applyFont="1" applyFill="1"/>
    <xf numFmtId="2" fontId="29" fillId="2" borderId="0" xfId="6" applyNumberFormat="1" applyFont="1" applyFill="1" applyAlignment="1">
      <alignment horizontal="center"/>
    </xf>
    <xf numFmtId="164" fontId="29" fillId="2" borderId="0" xfId="6" applyNumberFormat="1" applyFont="1" applyFill="1" applyAlignment="1">
      <alignment horizontal="center"/>
    </xf>
    <xf numFmtId="22" fontId="30" fillId="2" borderId="0" xfId="6" applyNumberFormat="1" applyFont="1" applyFill="1"/>
    <xf numFmtId="0" fontId="29" fillId="2" borderId="1" xfId="6" applyFont="1" applyFill="1" applyBorder="1" applyAlignment="1">
      <alignment horizontal="center"/>
    </xf>
    <xf numFmtId="0" fontId="29" fillId="2" borderId="2" xfId="6" applyFont="1" applyFill="1" applyBorder="1" applyAlignment="1">
      <alignment horizontal="center"/>
    </xf>
    <xf numFmtId="0" fontId="30" fillId="2" borderId="3" xfId="6" applyFont="1" applyFill="1" applyBorder="1" applyAlignment="1">
      <alignment horizontal="center"/>
    </xf>
    <xf numFmtId="0" fontId="31" fillId="3" borderId="3" xfId="6" applyFont="1" applyFill="1" applyBorder="1" applyAlignment="1" applyProtection="1">
      <alignment horizontal="center"/>
      <protection locked="0"/>
    </xf>
    <xf numFmtId="2" fontId="31" fillId="3" borderId="3" xfId="6" applyNumberFormat="1" applyFont="1" applyFill="1" applyBorder="1" applyAlignment="1" applyProtection="1">
      <alignment horizontal="center"/>
      <protection locked="0"/>
    </xf>
    <xf numFmtId="2" fontId="31" fillId="3" borderId="4" xfId="6" applyNumberFormat="1" applyFont="1" applyFill="1" applyBorder="1" applyAlignment="1" applyProtection="1">
      <alignment horizontal="center"/>
      <protection locked="0"/>
    </xf>
    <xf numFmtId="0" fontId="31" fillId="3" borderId="5" xfId="6" applyFont="1" applyFill="1" applyBorder="1" applyAlignment="1" applyProtection="1">
      <alignment horizontal="center"/>
      <protection locked="0"/>
    </xf>
    <xf numFmtId="2" fontId="31" fillId="3" borderId="5" xfId="6" applyNumberFormat="1" applyFont="1" applyFill="1" applyBorder="1" applyAlignment="1" applyProtection="1">
      <alignment horizontal="center"/>
      <protection locked="0"/>
    </xf>
    <xf numFmtId="0" fontId="30" fillId="2" borderId="4" xfId="6" applyFont="1" applyFill="1" applyBorder="1"/>
    <xf numFmtId="1" fontId="29" fillId="4" borderId="2" xfId="6" applyNumberFormat="1" applyFont="1" applyFill="1" applyBorder="1" applyAlignment="1">
      <alignment horizontal="center"/>
    </xf>
    <xf numFmtId="1" fontId="29" fillId="4" borderId="1" xfId="6" applyNumberFormat="1" applyFont="1" applyFill="1" applyBorder="1" applyAlignment="1">
      <alignment horizontal="center"/>
    </xf>
    <xf numFmtId="2" fontId="29" fillId="4" borderId="1" xfId="6" applyNumberFormat="1" applyFont="1" applyFill="1" applyBorder="1" applyAlignment="1">
      <alignment horizontal="center"/>
    </xf>
    <xf numFmtId="0" fontId="30" fillId="2" borderId="3" xfId="6" applyFont="1" applyFill="1" applyBorder="1"/>
    <xf numFmtId="10" fontId="29" fillId="5" borderId="1" xfId="6" applyNumberFormat="1" applyFont="1" applyFill="1" applyBorder="1" applyAlignment="1">
      <alignment horizontal="center"/>
    </xf>
    <xf numFmtId="165" fontId="29" fillId="2" borderId="0" xfId="6" applyNumberFormat="1" applyFont="1" applyFill="1" applyAlignment="1">
      <alignment horizontal="center"/>
    </xf>
    <xf numFmtId="0" fontId="30" fillId="2" borderId="6" xfId="6" applyFont="1" applyFill="1" applyBorder="1"/>
    <xf numFmtId="0" fontId="30" fillId="2" borderId="5" xfId="6" applyFont="1" applyFill="1" applyBorder="1"/>
    <xf numFmtId="0" fontId="29" fillId="4" borderId="1" xfId="6" applyFont="1" applyFill="1" applyBorder="1" applyAlignment="1">
      <alignment horizontal="center"/>
    </xf>
    <xf numFmtId="0" fontId="29" fillId="2" borderId="7" xfId="6" applyFont="1" applyFill="1" applyBorder="1" applyAlignment="1">
      <alignment horizontal="center"/>
    </xf>
    <xf numFmtId="0" fontId="30" fillId="2" borderId="7" xfId="6" applyFont="1" applyFill="1" applyBorder="1"/>
    <xf numFmtId="0" fontId="30" fillId="2" borderId="8" xfId="6" applyFont="1" applyFill="1" applyBorder="1"/>
    <xf numFmtId="0" fontId="30" fillId="2" borderId="0" xfId="6" applyFont="1" applyFill="1" applyAlignment="1" applyProtection="1">
      <alignment horizontal="left"/>
      <protection locked="0"/>
    </xf>
    <xf numFmtId="0" fontId="30" fillId="2" borderId="0" xfId="6" applyFont="1" applyFill="1" applyProtection="1">
      <protection locked="0"/>
    </xf>
    <xf numFmtId="0" fontId="27" fillId="2" borderId="9" xfId="6" applyFont="1" applyFill="1" applyBorder="1"/>
    <xf numFmtId="0" fontId="27" fillId="2" borderId="0" xfId="6" applyFont="1" applyFill="1" applyAlignment="1">
      <alignment horizontal="center"/>
    </xf>
    <xf numFmtId="10" fontId="27" fillId="2" borderId="9" xfId="6" applyNumberFormat="1" applyFont="1" applyFill="1" applyBorder="1"/>
    <xf numFmtId="0" fontId="25" fillId="2" borderId="0" xfId="6" applyFill="1"/>
    <xf numFmtId="0" fontId="32" fillId="2" borderId="10" xfId="6" applyFont="1" applyFill="1" applyBorder="1" applyAlignment="1">
      <alignment horizontal="center"/>
    </xf>
    <xf numFmtId="0" fontId="27" fillId="2" borderId="10" xfId="6" applyFont="1" applyFill="1" applyBorder="1" applyAlignment="1">
      <alignment horizontal="center"/>
    </xf>
    <xf numFmtId="0" fontId="32" fillId="2" borderId="0" xfId="6" applyFont="1" applyFill="1" applyAlignment="1">
      <alignment horizontal="right"/>
    </xf>
    <xf numFmtId="0" fontId="27" fillId="2" borderId="7" xfId="6" applyFont="1" applyFill="1" applyBorder="1"/>
    <xf numFmtId="0" fontId="32" fillId="2" borderId="11" xfId="6" applyFont="1" applyFill="1" applyBorder="1"/>
    <xf numFmtId="0" fontId="27" fillId="2" borderId="11" xfId="6" applyFont="1" applyFill="1" applyBorder="1"/>
    <xf numFmtId="0" fontId="27" fillId="2" borderId="0" xfId="4" applyFont="1" applyFill="1"/>
    <xf numFmtId="0" fontId="28" fillId="2" borderId="0" xfId="4" applyFont="1" applyFill="1"/>
    <xf numFmtId="0" fontId="28" fillId="2" borderId="0" xfId="4" applyFont="1" applyFill="1" applyAlignment="1">
      <alignment horizontal="left"/>
    </xf>
    <xf numFmtId="0" fontId="29" fillId="2" borderId="0" xfId="4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30" fillId="2" borderId="0" xfId="4" applyFont="1" applyFill="1"/>
    <xf numFmtId="0" fontId="29" fillId="2" borderId="0" xfId="4" applyFont="1" applyFill="1"/>
    <xf numFmtId="2" fontId="29" fillId="2" borderId="0" xfId="4" applyNumberFormat="1" applyFont="1" applyFill="1" applyAlignment="1">
      <alignment horizontal="center"/>
    </xf>
    <xf numFmtId="164" fontId="29" fillId="2" borderId="0" xfId="4" applyNumberFormat="1" applyFont="1" applyFill="1" applyAlignment="1">
      <alignment horizontal="center"/>
    </xf>
    <xf numFmtId="22" fontId="30" fillId="2" borderId="0" xfId="4" applyNumberFormat="1" applyFont="1" applyFill="1"/>
    <xf numFmtId="0" fontId="29" fillId="2" borderId="1" xfId="4" applyFont="1" applyFill="1" applyBorder="1" applyAlignment="1">
      <alignment horizontal="center"/>
    </xf>
    <xf numFmtId="0" fontId="29" fillId="2" borderId="2" xfId="4" applyFont="1" applyFill="1" applyBorder="1" applyAlignment="1">
      <alignment horizontal="center"/>
    </xf>
    <xf numFmtId="0" fontId="30" fillId="2" borderId="3" xfId="4" applyFont="1" applyFill="1" applyBorder="1" applyAlignment="1">
      <alignment horizontal="center"/>
    </xf>
    <xf numFmtId="0" fontId="31" fillId="3" borderId="3" xfId="4" applyFont="1" applyFill="1" applyBorder="1" applyAlignment="1" applyProtection="1">
      <alignment horizontal="center"/>
      <protection locked="0"/>
    </xf>
    <xf numFmtId="2" fontId="31" fillId="3" borderId="3" xfId="4" applyNumberFormat="1" applyFont="1" applyFill="1" applyBorder="1" applyAlignment="1" applyProtection="1">
      <alignment horizontal="center"/>
      <protection locked="0"/>
    </xf>
    <xf numFmtId="2" fontId="31" fillId="3" borderId="4" xfId="4" applyNumberFormat="1" applyFont="1" applyFill="1" applyBorder="1" applyAlignment="1" applyProtection="1">
      <alignment horizontal="center"/>
      <protection locked="0"/>
    </xf>
    <xf numFmtId="0" fontId="31" fillId="3" borderId="5" xfId="4" applyFont="1" applyFill="1" applyBorder="1" applyAlignment="1" applyProtection="1">
      <alignment horizontal="center"/>
      <protection locked="0"/>
    </xf>
    <xf numFmtId="2" fontId="31" fillId="3" borderId="5" xfId="4" applyNumberFormat="1" applyFont="1" applyFill="1" applyBorder="1" applyAlignment="1" applyProtection="1">
      <alignment horizontal="center"/>
      <protection locked="0"/>
    </xf>
    <xf numFmtId="0" fontId="30" fillId="2" borderId="4" xfId="4" applyFont="1" applyFill="1" applyBorder="1"/>
    <xf numFmtId="1" fontId="29" fillId="4" borderId="2" xfId="4" applyNumberFormat="1" applyFont="1" applyFill="1" applyBorder="1" applyAlignment="1">
      <alignment horizontal="center"/>
    </xf>
    <xf numFmtId="1" fontId="29" fillId="4" borderId="1" xfId="4" applyNumberFormat="1" applyFont="1" applyFill="1" applyBorder="1" applyAlignment="1">
      <alignment horizontal="center"/>
    </xf>
    <xf numFmtId="2" fontId="29" fillId="4" borderId="1" xfId="4" applyNumberFormat="1" applyFont="1" applyFill="1" applyBorder="1" applyAlignment="1">
      <alignment horizontal="center"/>
    </xf>
    <xf numFmtId="0" fontId="30" fillId="2" borderId="3" xfId="4" applyFont="1" applyFill="1" applyBorder="1"/>
    <xf numFmtId="10" fontId="29" fillId="5" borderId="1" xfId="4" applyNumberFormat="1" applyFont="1" applyFill="1" applyBorder="1" applyAlignment="1">
      <alignment horizontal="center"/>
    </xf>
    <xf numFmtId="165" fontId="29" fillId="2" borderId="0" xfId="4" applyNumberFormat="1" applyFont="1" applyFill="1" applyAlignment="1">
      <alignment horizontal="center"/>
    </xf>
    <xf numFmtId="0" fontId="30" fillId="2" borderId="6" xfId="4" applyFont="1" applyFill="1" applyBorder="1"/>
    <xf numFmtId="0" fontId="30" fillId="2" borderId="5" xfId="4" applyFont="1" applyFill="1" applyBorder="1"/>
    <xf numFmtId="0" fontId="29" fillId="4" borderId="1" xfId="4" applyFont="1" applyFill="1" applyBorder="1" applyAlignment="1">
      <alignment horizontal="center"/>
    </xf>
    <xf numFmtId="0" fontId="29" fillId="2" borderId="7" xfId="4" applyFont="1" applyFill="1" applyBorder="1" applyAlignment="1">
      <alignment horizontal="center"/>
    </xf>
    <xf numFmtId="0" fontId="30" fillId="2" borderId="7" xfId="4" applyFont="1" applyFill="1" applyBorder="1"/>
    <xf numFmtId="0" fontId="30" fillId="2" borderId="8" xfId="4" applyFont="1" applyFill="1" applyBorder="1"/>
    <xf numFmtId="0" fontId="30" fillId="2" borderId="0" xfId="4" applyFont="1" applyFill="1" applyAlignment="1" applyProtection="1">
      <alignment horizontal="left"/>
      <protection locked="0"/>
    </xf>
    <xf numFmtId="0" fontId="30" fillId="2" borderId="0" xfId="4" applyFont="1" applyFill="1" applyProtection="1">
      <protection locked="0"/>
    </xf>
    <xf numFmtId="0" fontId="27" fillId="2" borderId="9" xfId="4" applyFont="1" applyFill="1" applyBorder="1"/>
    <xf numFmtId="0" fontId="27" fillId="2" borderId="0" xfId="4" applyFont="1" applyFill="1" applyAlignment="1">
      <alignment horizontal="center"/>
    </xf>
    <xf numFmtId="10" fontId="27" fillId="2" borderId="9" xfId="4" applyNumberFormat="1" applyFont="1" applyFill="1" applyBorder="1"/>
    <xf numFmtId="0" fontId="25" fillId="2" borderId="0" xfId="4" applyFill="1"/>
    <xf numFmtId="0" fontId="32" fillId="2" borderId="10" xfId="4" applyFont="1" applyFill="1" applyBorder="1" applyAlignment="1">
      <alignment horizontal="center"/>
    </xf>
    <xf numFmtId="0" fontId="27" fillId="2" borderId="10" xfId="4" applyFont="1" applyFill="1" applyBorder="1" applyAlignment="1">
      <alignment horizontal="center"/>
    </xf>
    <xf numFmtId="0" fontId="32" fillId="2" borderId="0" xfId="4" applyFont="1" applyFill="1" applyAlignment="1">
      <alignment horizontal="right"/>
    </xf>
    <xf numFmtId="0" fontId="27" fillId="2" borderId="7" xfId="4" applyFont="1" applyFill="1" applyBorder="1"/>
    <xf numFmtId="0" fontId="32" fillId="2" borderId="11" xfId="4" applyFont="1" applyFill="1" applyBorder="1"/>
    <xf numFmtId="0" fontId="27" fillId="2" borderId="11" xfId="4" applyFont="1" applyFill="1" applyBorder="1"/>
    <xf numFmtId="0" fontId="26" fillId="2" borderId="0" xfId="6" applyFont="1" applyFill="1" applyAlignment="1">
      <alignment horizontal="center"/>
    </xf>
    <xf numFmtId="0" fontId="32" fillId="2" borderId="10" xfId="6" applyFont="1" applyFill="1" applyBorder="1" applyAlignment="1">
      <alignment horizontal="center"/>
    </xf>
    <xf numFmtId="0" fontId="26" fillId="2" borderId="0" xfId="1" applyFont="1" applyFill="1" applyAlignment="1">
      <alignment horizontal="center"/>
    </xf>
    <xf numFmtId="0" fontId="32" fillId="2" borderId="10" xfId="1" applyFont="1" applyFill="1" applyBorder="1" applyAlignment="1">
      <alignment horizontal="center"/>
    </xf>
    <xf numFmtId="0" fontId="26" fillId="2" borderId="0" xfId="4" applyFont="1" applyFill="1" applyAlignment="1">
      <alignment horizontal="center"/>
    </xf>
    <xf numFmtId="0" fontId="32" fillId="2" borderId="10" xfId="4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11">
    <cellStyle name="Normal" xfId="0" builtinId="0"/>
    <cellStyle name="Normal 2" xfId="2"/>
    <cellStyle name="Normal 3" xfId="3"/>
    <cellStyle name="Normal 3 2" xfId="4"/>
    <cellStyle name="Normal 4" xfId="5"/>
    <cellStyle name="Normal 4 2" xfId="6"/>
    <cellStyle name="Normal 5" xfId="7"/>
    <cellStyle name="Normal 6" xfId="8"/>
    <cellStyle name="Normal 7" xfId="9"/>
    <cellStyle name="Normal 7 2" xfId="1"/>
    <cellStyle name="Normal 8" xfId="1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2016/SEPTEMBER/NDQB2016070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%202016/SEPTEMBER/NDQB2016070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</sheetNames>
    <sheetDataSet>
      <sheetData sheetId="0"/>
      <sheetData sheetId="1"/>
      <sheetData sheetId="2">
        <row r="96">
          <cell r="D96">
            <v>14.37</v>
          </cell>
        </row>
      </sheetData>
      <sheetData sheetId="3"/>
      <sheetData sheetId="4">
        <row r="96">
          <cell r="D96">
            <v>14.64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TDF"/>
      <sheetName val="Tenofovir Disoproxil Fumarate"/>
      <sheetName val="SST lam"/>
      <sheetName val="Lamivudine"/>
      <sheetName val="SST Efav"/>
      <sheetName val="EFFAVIRENZ"/>
    </sheetNames>
    <sheetDataSet>
      <sheetData sheetId="0"/>
      <sheetData sheetId="1"/>
      <sheetData sheetId="2"/>
      <sheetData sheetId="3"/>
      <sheetData sheetId="4"/>
      <sheetData sheetId="5"/>
      <sheetData sheetId="6">
        <row r="96">
          <cell r="D96">
            <v>29.06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49"/>
  <sheetViews>
    <sheetView view="pageBreakPreview" topLeftCell="A13" zoomScale="60" workbookViewId="0">
      <selection activeCell="E49" sqref="E49"/>
    </sheetView>
  </sheetViews>
  <sheetFormatPr defaultRowHeight="13.5" x14ac:dyDescent="0.25"/>
  <cols>
    <col min="1" max="1" width="27.5703125" style="656" customWidth="1"/>
    <col min="2" max="2" width="20.42578125" style="656" customWidth="1"/>
    <col min="3" max="3" width="31.85546875" style="656" customWidth="1"/>
    <col min="4" max="4" width="25.85546875" style="656" customWidth="1"/>
    <col min="5" max="5" width="25.7109375" style="656" customWidth="1"/>
    <col min="6" max="6" width="23.140625" style="656" customWidth="1"/>
    <col min="7" max="7" width="28.42578125" style="656" customWidth="1"/>
    <col min="8" max="8" width="21.5703125" style="656" customWidth="1"/>
    <col min="9" max="9" width="9.140625" style="656" customWidth="1"/>
    <col min="10" max="16384" width="9.140625" style="692"/>
  </cols>
  <sheetData>
    <row r="3" spans="1:5" ht="18.75" customHeight="1" x14ac:dyDescent="0.3">
      <c r="A3" s="742" t="s">
        <v>0</v>
      </c>
      <c r="B3" s="742"/>
      <c r="C3" s="742"/>
      <c r="D3" s="742"/>
      <c r="E3" s="742"/>
    </row>
    <row r="4" spans="1:5" ht="16.5" customHeight="1" x14ac:dyDescent="0.3">
      <c r="A4" s="657" t="s">
        <v>1</v>
      </c>
      <c r="B4" s="658" t="s">
        <v>2</v>
      </c>
    </row>
    <row r="5" spans="1:5" ht="16.5" customHeight="1" x14ac:dyDescent="0.3">
      <c r="A5" s="659" t="s">
        <v>3</v>
      </c>
      <c r="B5" s="659" t="s">
        <v>136</v>
      </c>
      <c r="D5" s="660"/>
      <c r="E5" s="661"/>
    </row>
    <row r="6" spans="1:5" ht="16.5" customHeight="1" x14ac:dyDescent="0.3">
      <c r="A6" s="662" t="s">
        <v>4</v>
      </c>
      <c r="B6" s="663" t="s">
        <v>130</v>
      </c>
      <c r="C6" s="661"/>
      <c r="D6" s="661"/>
      <c r="E6" s="661"/>
    </row>
    <row r="7" spans="1:5" ht="16.5" customHeight="1" x14ac:dyDescent="0.3">
      <c r="A7" s="662" t="s">
        <v>6</v>
      </c>
      <c r="B7" s="660">
        <v>99.3</v>
      </c>
      <c r="C7" s="661"/>
      <c r="D7" s="661"/>
      <c r="E7" s="661"/>
    </row>
    <row r="8" spans="1:5" ht="16.5" customHeight="1" x14ac:dyDescent="0.3">
      <c r="A8" s="659" t="s">
        <v>8</v>
      </c>
      <c r="B8" s="663">
        <v>12.88</v>
      </c>
      <c r="C8" s="661"/>
      <c r="D8" s="661"/>
      <c r="E8" s="661"/>
    </row>
    <row r="9" spans="1:5" ht="16.5" customHeight="1" x14ac:dyDescent="0.3">
      <c r="A9" s="659" t="s">
        <v>10</v>
      </c>
      <c r="B9" s="664">
        <f>B8/50*10/25</f>
        <v>0.10304000000000001</v>
      </c>
      <c r="C9" s="661"/>
      <c r="D9" s="661"/>
      <c r="E9" s="661"/>
    </row>
    <row r="10" spans="1:5" ht="15.75" customHeight="1" x14ac:dyDescent="0.25">
      <c r="A10" s="661"/>
      <c r="B10" s="665"/>
      <c r="C10" s="661"/>
      <c r="D10" s="661"/>
      <c r="E10" s="661"/>
    </row>
    <row r="11" spans="1:5" ht="16.5" customHeight="1" x14ac:dyDescent="0.3">
      <c r="A11" s="666" t="s">
        <v>13</v>
      </c>
      <c r="B11" s="667" t="s">
        <v>14</v>
      </c>
      <c r="C11" s="666" t="s">
        <v>15</v>
      </c>
      <c r="D11" s="666" t="s">
        <v>16</v>
      </c>
      <c r="E11" s="666" t="s">
        <v>17</v>
      </c>
    </row>
    <row r="12" spans="1:5" ht="16.5" customHeight="1" x14ac:dyDescent="0.3">
      <c r="A12" s="668">
        <v>1</v>
      </c>
      <c r="B12" s="669">
        <v>63300872</v>
      </c>
      <c r="C12" s="669">
        <v>12918.6</v>
      </c>
      <c r="D12" s="670">
        <v>1.1000000000000001</v>
      </c>
      <c r="E12" s="671">
        <v>2.2000000000000002</v>
      </c>
    </row>
    <row r="13" spans="1:5" ht="16.5" customHeight="1" x14ac:dyDescent="0.3">
      <c r="A13" s="668">
        <v>2</v>
      </c>
      <c r="B13" s="669">
        <v>63663008</v>
      </c>
      <c r="C13" s="669">
        <v>12962.5</v>
      </c>
      <c r="D13" s="670">
        <v>1.1000000000000001</v>
      </c>
      <c r="E13" s="670">
        <v>2.2000000000000002</v>
      </c>
    </row>
    <row r="14" spans="1:5" ht="16.5" customHeight="1" x14ac:dyDescent="0.3">
      <c r="A14" s="668">
        <v>3</v>
      </c>
      <c r="B14" s="669">
        <v>63581162</v>
      </c>
      <c r="C14" s="669">
        <v>12960.9</v>
      </c>
      <c r="D14" s="670">
        <v>1.1000000000000001</v>
      </c>
      <c r="E14" s="670">
        <v>2.2000000000000002</v>
      </c>
    </row>
    <row r="15" spans="1:5" ht="16.5" customHeight="1" x14ac:dyDescent="0.3">
      <c r="A15" s="668">
        <v>4</v>
      </c>
      <c r="B15" s="669">
        <v>63614962</v>
      </c>
      <c r="C15" s="669">
        <v>12910</v>
      </c>
      <c r="D15" s="670">
        <v>1.1000000000000001</v>
      </c>
      <c r="E15" s="670">
        <v>2.2000000000000002</v>
      </c>
    </row>
    <row r="16" spans="1:5" ht="16.5" customHeight="1" x14ac:dyDescent="0.3">
      <c r="A16" s="668">
        <v>5</v>
      </c>
      <c r="B16" s="669">
        <v>63656327</v>
      </c>
      <c r="C16" s="669">
        <v>12913.8</v>
      </c>
      <c r="D16" s="670">
        <v>1.1000000000000001</v>
      </c>
      <c r="E16" s="670">
        <v>2.2000000000000002</v>
      </c>
    </row>
    <row r="17" spans="1:5" ht="16.5" customHeight="1" x14ac:dyDescent="0.3">
      <c r="A17" s="668">
        <v>6</v>
      </c>
      <c r="B17" s="672">
        <v>63620558</v>
      </c>
      <c r="C17" s="672">
        <v>12978</v>
      </c>
      <c r="D17" s="673">
        <v>1.1000000000000001</v>
      </c>
      <c r="E17" s="673">
        <v>2.2000000000000002</v>
      </c>
    </row>
    <row r="18" spans="1:5" ht="16.5" customHeight="1" x14ac:dyDescent="0.3">
      <c r="A18" s="674" t="s">
        <v>18</v>
      </c>
      <c r="B18" s="675">
        <v>63572814.799999997</v>
      </c>
      <c r="C18" s="676">
        <v>12940.633</v>
      </c>
      <c r="D18" s="677">
        <v>1.1000000000000001</v>
      </c>
      <c r="E18" s="677">
        <v>2.2000000000000002</v>
      </c>
    </row>
    <row r="19" spans="1:5" ht="16.5" customHeight="1" x14ac:dyDescent="0.3">
      <c r="A19" s="678" t="s">
        <v>19</v>
      </c>
      <c r="B19" s="679">
        <f>(STDEV(B12:B17)/B18)</f>
        <v>2.1474462398520353E-3</v>
      </c>
      <c r="C19" s="680"/>
      <c r="D19" s="680"/>
      <c r="E19" s="681"/>
    </row>
    <row r="20" spans="1:5" s="656" customFormat="1" ht="16.5" customHeight="1" x14ac:dyDescent="0.3">
      <c r="A20" s="682" t="s">
        <v>20</v>
      </c>
      <c r="B20" s="683">
        <f>COUNT(B12:B17)</f>
        <v>6</v>
      </c>
      <c r="C20" s="684"/>
      <c r="D20" s="685"/>
      <c r="E20" s="686"/>
    </row>
    <row r="21" spans="1:5" s="656" customFormat="1" ht="15.75" customHeight="1" x14ac:dyDescent="0.25">
      <c r="A21" s="661"/>
      <c r="B21" s="661"/>
      <c r="C21" s="661"/>
      <c r="D21" s="661"/>
      <c r="E21" s="661"/>
    </row>
    <row r="22" spans="1:5" s="656" customFormat="1" ht="16.5" customHeight="1" x14ac:dyDescent="0.3">
      <c r="A22" s="662" t="s">
        <v>21</v>
      </c>
      <c r="B22" s="687" t="s">
        <v>138</v>
      </c>
      <c r="C22" s="688"/>
      <c r="D22" s="688"/>
      <c r="E22" s="688"/>
    </row>
    <row r="23" spans="1:5" ht="16.5" customHeight="1" x14ac:dyDescent="0.3">
      <c r="A23" s="662"/>
      <c r="B23" s="687" t="s">
        <v>139</v>
      </c>
      <c r="C23" s="688"/>
      <c r="D23" s="688"/>
      <c r="E23" s="688"/>
    </row>
    <row r="24" spans="1:5" ht="16.5" customHeight="1" x14ac:dyDescent="0.3">
      <c r="A24" s="662"/>
      <c r="B24" s="687" t="s">
        <v>140</v>
      </c>
      <c r="C24" s="688"/>
      <c r="D24" s="688"/>
      <c r="E24" s="688"/>
    </row>
    <row r="25" spans="1:5" ht="15.75" customHeight="1" x14ac:dyDescent="0.25">
      <c r="A25" s="661"/>
      <c r="B25" s="661"/>
      <c r="C25" s="661"/>
      <c r="D25" s="661"/>
      <c r="E25" s="661"/>
    </row>
    <row r="26" spans="1:5" ht="16.5" customHeight="1" x14ac:dyDescent="0.3">
      <c r="A26" s="657" t="s">
        <v>1</v>
      </c>
      <c r="B26" s="658" t="s">
        <v>22</v>
      </c>
    </row>
    <row r="27" spans="1:5" ht="16.5" customHeight="1" x14ac:dyDescent="0.3">
      <c r="A27" s="662" t="s">
        <v>4</v>
      </c>
      <c r="B27" s="659" t="s">
        <v>130</v>
      </c>
      <c r="C27" s="661"/>
      <c r="D27" s="661"/>
      <c r="E27" s="661"/>
    </row>
    <row r="28" spans="1:5" ht="16.5" customHeight="1" x14ac:dyDescent="0.3">
      <c r="A28" s="662" t="s">
        <v>6</v>
      </c>
      <c r="B28" s="663">
        <v>100</v>
      </c>
      <c r="C28" s="661"/>
      <c r="D28" s="661"/>
      <c r="E28" s="661"/>
    </row>
    <row r="29" spans="1:5" ht="16.5" customHeight="1" x14ac:dyDescent="0.3">
      <c r="A29" s="659" t="s">
        <v>8</v>
      </c>
      <c r="B29" s="663">
        <f>[1]Lamivudine!D96</f>
        <v>14.64</v>
      </c>
      <c r="C29" s="661"/>
      <c r="D29" s="661"/>
      <c r="E29" s="661"/>
    </row>
    <row r="30" spans="1:5" ht="16.5" customHeight="1" x14ac:dyDescent="0.3">
      <c r="A30" s="659" t="s">
        <v>10</v>
      </c>
      <c r="B30" s="664">
        <f>B29/50</f>
        <v>0.2928</v>
      </c>
      <c r="C30" s="661"/>
      <c r="D30" s="661"/>
      <c r="E30" s="661"/>
    </row>
    <row r="31" spans="1:5" ht="15.75" customHeight="1" x14ac:dyDescent="0.25">
      <c r="A31" s="661"/>
      <c r="B31" s="661"/>
      <c r="C31" s="661"/>
      <c r="D31" s="661"/>
      <c r="E31" s="661"/>
    </row>
    <row r="32" spans="1:5" ht="16.5" customHeight="1" x14ac:dyDescent="0.3">
      <c r="A32" s="666" t="s">
        <v>13</v>
      </c>
      <c r="B32" s="667" t="s">
        <v>14</v>
      </c>
      <c r="C32" s="666" t="s">
        <v>15</v>
      </c>
      <c r="D32" s="666" t="s">
        <v>16</v>
      </c>
      <c r="E32" s="666" t="s">
        <v>17</v>
      </c>
    </row>
    <row r="33" spans="1:7" ht="16.5" customHeight="1" x14ac:dyDescent="0.3">
      <c r="A33" s="668">
        <v>1</v>
      </c>
      <c r="B33" s="669">
        <v>103423348</v>
      </c>
      <c r="C33" s="669">
        <v>64827.3</v>
      </c>
      <c r="D33" s="670">
        <v>1.1000000000000001</v>
      </c>
      <c r="E33" s="671">
        <v>8.7799999999999994</v>
      </c>
    </row>
    <row r="34" spans="1:7" ht="16.5" customHeight="1" x14ac:dyDescent="0.3">
      <c r="A34" s="668">
        <v>2</v>
      </c>
      <c r="B34" s="669">
        <v>103333666</v>
      </c>
      <c r="C34" s="669">
        <v>64987.3</v>
      </c>
      <c r="D34" s="670">
        <v>1.1000000000000001</v>
      </c>
      <c r="E34" s="670">
        <v>8.7799999999999994</v>
      </c>
    </row>
    <row r="35" spans="1:7" ht="16.5" customHeight="1" x14ac:dyDescent="0.3">
      <c r="A35" s="668">
        <v>3</v>
      </c>
      <c r="B35" s="669">
        <v>103249741</v>
      </c>
      <c r="C35" s="669">
        <v>64712.7</v>
      </c>
      <c r="D35" s="670">
        <v>1.2</v>
      </c>
      <c r="E35" s="670">
        <v>8.77</v>
      </c>
    </row>
    <row r="36" spans="1:7" ht="16.5" customHeight="1" x14ac:dyDescent="0.3">
      <c r="A36" s="668">
        <v>4</v>
      </c>
      <c r="B36" s="669">
        <v>103622652</v>
      </c>
      <c r="C36" s="669">
        <v>63861.4</v>
      </c>
      <c r="D36" s="670">
        <v>1.1000000000000001</v>
      </c>
      <c r="E36" s="670">
        <v>8.77</v>
      </c>
    </row>
    <row r="37" spans="1:7" ht="16.5" customHeight="1" x14ac:dyDescent="0.3">
      <c r="A37" s="668">
        <v>5</v>
      </c>
      <c r="B37" s="669">
        <v>103818340</v>
      </c>
      <c r="C37" s="669">
        <v>62704.5</v>
      </c>
      <c r="D37" s="670">
        <v>1.2</v>
      </c>
      <c r="E37" s="670">
        <v>8.7799999999999994</v>
      </c>
    </row>
    <row r="38" spans="1:7" ht="16.5" customHeight="1" x14ac:dyDescent="0.3">
      <c r="A38" s="668">
        <v>6</v>
      </c>
      <c r="B38" s="672">
        <v>103939874</v>
      </c>
      <c r="C38" s="672">
        <v>64245.3</v>
      </c>
      <c r="D38" s="673">
        <v>1.1000000000000001</v>
      </c>
      <c r="E38" s="673">
        <v>8.7799999999999994</v>
      </c>
    </row>
    <row r="39" spans="1:7" ht="16.5" customHeight="1" x14ac:dyDescent="0.3">
      <c r="A39" s="674" t="s">
        <v>18</v>
      </c>
      <c r="B39" s="675">
        <f>AVERAGE(B33:B38)</f>
        <v>103564603.5</v>
      </c>
      <c r="C39" s="676">
        <f>AVERAGE(C33:C38)</f>
        <v>64223.083333333321</v>
      </c>
      <c r="D39" s="677">
        <f>AVERAGE(D33:D38)</f>
        <v>1.1333333333333335</v>
      </c>
      <c r="E39" s="677">
        <f>AVERAGE(E33:E38)</f>
        <v>8.7766666666666655</v>
      </c>
    </row>
    <row r="40" spans="1:7" ht="16.5" customHeight="1" x14ac:dyDescent="0.3">
      <c r="A40" s="678" t="s">
        <v>19</v>
      </c>
      <c r="B40" s="679">
        <f>(STDEV(B33:B38)/B39)</f>
        <v>2.6654349748210463E-3</v>
      </c>
      <c r="C40" s="680"/>
      <c r="D40" s="680"/>
      <c r="E40" s="681"/>
    </row>
    <row r="41" spans="1:7" s="656" customFormat="1" ht="16.5" customHeight="1" x14ac:dyDescent="0.3">
      <c r="A41" s="682" t="s">
        <v>20</v>
      </c>
      <c r="B41" s="683">
        <f>COUNT(B33:B38)</f>
        <v>6</v>
      </c>
      <c r="C41" s="684"/>
      <c r="D41" s="685"/>
      <c r="E41" s="686"/>
    </row>
    <row r="42" spans="1:7" s="656" customFormat="1" ht="15.75" customHeight="1" x14ac:dyDescent="0.25">
      <c r="A42" s="661"/>
      <c r="B42" s="661"/>
      <c r="C42" s="661"/>
      <c r="D42" s="661"/>
      <c r="E42" s="661"/>
    </row>
    <row r="43" spans="1:7" s="656" customFormat="1" ht="16.5" customHeight="1" x14ac:dyDescent="0.3">
      <c r="A43" s="662" t="s">
        <v>21</v>
      </c>
      <c r="B43" s="687" t="s">
        <v>138</v>
      </c>
      <c r="C43" s="688"/>
      <c r="D43" s="688"/>
      <c r="E43" s="688"/>
    </row>
    <row r="44" spans="1:7" ht="16.5" customHeight="1" x14ac:dyDescent="0.3">
      <c r="A44" s="662"/>
      <c r="B44" s="687" t="s">
        <v>139</v>
      </c>
      <c r="C44" s="688"/>
      <c r="D44" s="688"/>
      <c r="E44" s="688"/>
    </row>
    <row r="45" spans="1:7" ht="16.5" customHeight="1" x14ac:dyDescent="0.3">
      <c r="A45" s="662"/>
      <c r="B45" s="687" t="s">
        <v>140</v>
      </c>
      <c r="C45" s="688"/>
      <c r="D45" s="688"/>
      <c r="E45" s="688"/>
    </row>
    <row r="46" spans="1:7" ht="14.25" customHeight="1" thickBot="1" x14ac:dyDescent="0.3">
      <c r="A46" s="689"/>
      <c r="B46" s="690"/>
      <c r="D46" s="691"/>
      <c r="F46" s="692"/>
      <c r="G46" s="692"/>
    </row>
    <row r="47" spans="1:7" ht="15" customHeight="1" x14ac:dyDescent="0.3">
      <c r="B47" s="743" t="s">
        <v>23</v>
      </c>
      <c r="C47" s="743"/>
      <c r="E47" s="693" t="s">
        <v>24</v>
      </c>
      <c r="F47" s="694"/>
      <c r="G47" s="693" t="s">
        <v>25</v>
      </c>
    </row>
    <row r="48" spans="1:7" ht="15" customHeight="1" x14ac:dyDescent="0.3">
      <c r="A48" s="695" t="s">
        <v>26</v>
      </c>
      <c r="B48" s="696" t="s">
        <v>141</v>
      </c>
      <c r="C48" s="696"/>
      <c r="E48" s="696" t="s">
        <v>142</v>
      </c>
      <c r="G48" s="696"/>
    </row>
    <row r="49" spans="1:7" ht="15" customHeight="1" x14ac:dyDescent="0.3">
      <c r="A49" s="695" t="s">
        <v>27</v>
      </c>
      <c r="B49" s="697"/>
      <c r="C49" s="697"/>
      <c r="E49" s="697"/>
      <c r="G49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3:E3"/>
    <mergeCell ref="B47:C47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topLeftCell="A13" zoomScale="70" zoomScaleSheetLayoutView="70" workbookViewId="0">
      <selection activeCell="E47" sqref="E47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9"/>
  </cols>
  <sheetData>
    <row r="1" spans="1:5" ht="18.75" customHeight="1" x14ac:dyDescent="0.3">
      <c r="A1" s="744" t="s">
        <v>0</v>
      </c>
      <c r="B1" s="744"/>
      <c r="C1" s="744"/>
      <c r="D1" s="744"/>
      <c r="E1" s="744"/>
    </row>
    <row r="2" spans="1:5" ht="16.5" customHeight="1" x14ac:dyDescent="0.3">
      <c r="A2" s="612" t="s">
        <v>1</v>
      </c>
      <c r="B2" s="613" t="s">
        <v>2</v>
      </c>
    </row>
    <row r="3" spans="1:5" ht="16.5" customHeight="1" x14ac:dyDescent="0.3">
      <c r="A3" s="614" t="s">
        <v>3</v>
      </c>
      <c r="B3" s="614" t="s">
        <v>136</v>
      </c>
      <c r="D3" s="615"/>
      <c r="E3" s="616"/>
    </row>
    <row r="4" spans="1:5" ht="16.5" customHeight="1" x14ac:dyDescent="0.3">
      <c r="A4" s="617" t="s">
        <v>4</v>
      </c>
      <c r="B4" s="618" t="s">
        <v>137</v>
      </c>
      <c r="C4" s="616"/>
      <c r="D4" s="616"/>
      <c r="E4" s="616"/>
    </row>
    <row r="5" spans="1:5" ht="16.5" customHeight="1" x14ac:dyDescent="0.3">
      <c r="A5" s="617" t="s">
        <v>6</v>
      </c>
      <c r="B5" s="619">
        <v>98.8</v>
      </c>
      <c r="C5" s="616"/>
      <c r="D5" s="616"/>
      <c r="E5" s="616"/>
    </row>
    <row r="6" spans="1:5" ht="16.5" customHeight="1" x14ac:dyDescent="0.3">
      <c r="A6" s="614" t="s">
        <v>8</v>
      </c>
      <c r="B6" s="618">
        <v>13.02</v>
      </c>
      <c r="C6" s="616"/>
      <c r="D6" s="616"/>
      <c r="E6" s="616"/>
    </row>
    <row r="7" spans="1:5" ht="16.5" customHeight="1" x14ac:dyDescent="0.3">
      <c r="A7" s="614" t="s">
        <v>10</v>
      </c>
      <c r="B7" s="620">
        <f>B6/50*10/25</f>
        <v>0.10415999999999999</v>
      </c>
      <c r="C7" s="616"/>
      <c r="D7" s="616"/>
      <c r="E7" s="616"/>
    </row>
    <row r="8" spans="1:5" ht="15.75" customHeight="1" x14ac:dyDescent="0.25">
      <c r="A8" s="616"/>
      <c r="B8" s="621"/>
      <c r="C8" s="616"/>
      <c r="D8" s="616"/>
      <c r="E8" s="616"/>
    </row>
    <row r="9" spans="1:5" ht="16.5" customHeight="1" x14ac:dyDescent="0.3">
      <c r="A9" s="622" t="s">
        <v>13</v>
      </c>
      <c r="B9" s="623" t="s">
        <v>14</v>
      </c>
      <c r="C9" s="622" t="s">
        <v>15</v>
      </c>
      <c r="D9" s="622" t="s">
        <v>16</v>
      </c>
      <c r="E9" s="622" t="s">
        <v>17</v>
      </c>
    </row>
    <row r="10" spans="1:5" ht="16.5" customHeight="1" x14ac:dyDescent="0.3">
      <c r="A10" s="624">
        <v>1</v>
      </c>
      <c r="B10" s="625">
        <v>24445836</v>
      </c>
      <c r="C10" s="625">
        <v>126092</v>
      </c>
      <c r="D10" s="626">
        <v>1.1000000000000001</v>
      </c>
      <c r="E10" s="627">
        <v>6.7</v>
      </c>
    </row>
    <row r="11" spans="1:5" ht="16.5" customHeight="1" x14ac:dyDescent="0.3">
      <c r="A11" s="624">
        <v>2</v>
      </c>
      <c r="B11" s="625">
        <v>24571964</v>
      </c>
      <c r="C11" s="625">
        <v>126076.8</v>
      </c>
      <c r="D11" s="626">
        <v>1.1000000000000001</v>
      </c>
      <c r="E11" s="626">
        <v>6.7</v>
      </c>
    </row>
    <row r="12" spans="1:5" ht="16.5" customHeight="1" x14ac:dyDescent="0.3">
      <c r="A12" s="624">
        <v>3</v>
      </c>
      <c r="B12" s="625">
        <v>24542748</v>
      </c>
      <c r="C12" s="625">
        <v>126155.6</v>
      </c>
      <c r="D12" s="626">
        <v>1.1000000000000001</v>
      </c>
      <c r="E12" s="626">
        <v>6.7</v>
      </c>
    </row>
    <row r="13" spans="1:5" ht="16.5" customHeight="1" x14ac:dyDescent="0.3">
      <c r="A13" s="624">
        <v>4</v>
      </c>
      <c r="B13" s="625">
        <v>24555202</v>
      </c>
      <c r="C13" s="625">
        <v>126069.2</v>
      </c>
      <c r="D13" s="626">
        <v>1.1000000000000001</v>
      </c>
      <c r="E13" s="626">
        <v>6.7</v>
      </c>
    </row>
    <row r="14" spans="1:5" ht="16.5" customHeight="1" x14ac:dyDescent="0.3">
      <c r="A14" s="624">
        <v>5</v>
      </c>
      <c r="B14" s="625">
        <v>24523572</v>
      </c>
      <c r="C14" s="625">
        <v>126026.1</v>
      </c>
      <c r="D14" s="626">
        <v>1.1000000000000001</v>
      </c>
      <c r="E14" s="626">
        <v>6.7</v>
      </c>
    </row>
    <row r="15" spans="1:5" ht="16.5" customHeight="1" x14ac:dyDescent="0.3">
      <c r="A15" s="624">
        <v>6</v>
      </c>
      <c r="B15" s="628">
        <v>24561224</v>
      </c>
      <c r="C15" s="628">
        <v>124979.7</v>
      </c>
      <c r="D15" s="629">
        <v>1.1000000000000001</v>
      </c>
      <c r="E15" s="629">
        <v>6.7</v>
      </c>
    </row>
    <row r="16" spans="1:5" ht="16.5" customHeight="1" x14ac:dyDescent="0.3">
      <c r="A16" s="630" t="s">
        <v>18</v>
      </c>
      <c r="B16" s="631">
        <v>24533424.329999998</v>
      </c>
      <c r="C16" s="632">
        <v>125899.9</v>
      </c>
      <c r="D16" s="633">
        <v>1.1000000000000001</v>
      </c>
      <c r="E16" s="633">
        <v>6.7</v>
      </c>
    </row>
    <row r="17" spans="1:5" ht="16.5" customHeight="1" x14ac:dyDescent="0.3">
      <c r="A17" s="634" t="s">
        <v>19</v>
      </c>
      <c r="B17" s="635">
        <f>(STDEV(B10:B15)/B16)</f>
        <v>1.8757114933438015E-3</v>
      </c>
      <c r="C17" s="636"/>
      <c r="D17" s="636"/>
      <c r="E17" s="637"/>
    </row>
    <row r="18" spans="1:5" s="611" customFormat="1" ht="16.5" customHeight="1" x14ac:dyDescent="0.3">
      <c r="A18" s="638" t="s">
        <v>20</v>
      </c>
      <c r="B18" s="639">
        <f>COUNT(B10:B15)</f>
        <v>6</v>
      </c>
      <c r="C18" s="640"/>
      <c r="D18" s="641"/>
      <c r="E18" s="642"/>
    </row>
    <row r="19" spans="1:5" s="611" customFormat="1" ht="15.75" customHeight="1" x14ac:dyDescent="0.25">
      <c r="A19" s="616"/>
      <c r="B19" s="616"/>
      <c r="C19" s="616"/>
      <c r="D19" s="616"/>
      <c r="E19" s="616"/>
    </row>
    <row r="20" spans="1:5" s="611" customFormat="1" ht="16.5" customHeight="1" x14ac:dyDescent="0.3">
      <c r="A20" s="617" t="s">
        <v>21</v>
      </c>
      <c r="B20" s="643" t="s">
        <v>138</v>
      </c>
      <c r="C20" s="644"/>
      <c r="D20" s="644"/>
      <c r="E20" s="644"/>
    </row>
    <row r="21" spans="1:5" ht="16.5" customHeight="1" x14ac:dyDescent="0.3">
      <c r="A21" s="617"/>
      <c r="B21" s="643" t="s">
        <v>139</v>
      </c>
      <c r="C21" s="644"/>
      <c r="D21" s="644"/>
      <c r="E21" s="644"/>
    </row>
    <row r="22" spans="1:5" ht="16.5" customHeight="1" x14ac:dyDescent="0.3">
      <c r="A22" s="617"/>
      <c r="B22" s="643" t="s">
        <v>140</v>
      </c>
      <c r="C22" s="644"/>
      <c r="D22" s="644"/>
      <c r="E22" s="644"/>
    </row>
    <row r="23" spans="1:5" ht="15.75" customHeight="1" x14ac:dyDescent="0.25">
      <c r="A23" s="616"/>
      <c r="B23" s="616"/>
      <c r="C23" s="616"/>
      <c r="D23" s="616"/>
      <c r="E23" s="616"/>
    </row>
    <row r="24" spans="1:5" ht="16.5" customHeight="1" x14ac:dyDescent="0.3">
      <c r="A24" s="612" t="s">
        <v>1</v>
      </c>
      <c r="B24" s="613" t="s">
        <v>22</v>
      </c>
    </row>
    <row r="25" spans="1:5" ht="16.5" customHeight="1" x14ac:dyDescent="0.3">
      <c r="A25" s="617" t="s">
        <v>4</v>
      </c>
      <c r="B25" s="645" t="str">
        <f>B4</f>
        <v>Tenofovir DF</v>
      </c>
      <c r="C25" s="616"/>
      <c r="D25" s="616"/>
      <c r="E25" s="616"/>
    </row>
    <row r="26" spans="1:5" ht="16.5" customHeight="1" x14ac:dyDescent="0.3">
      <c r="A26" s="617" t="s">
        <v>6</v>
      </c>
      <c r="B26" s="618">
        <v>98.8</v>
      </c>
      <c r="C26" s="616"/>
      <c r="D26" s="616"/>
      <c r="E26" s="616"/>
    </row>
    <row r="27" spans="1:5" ht="16.5" customHeight="1" x14ac:dyDescent="0.3">
      <c r="A27" s="614" t="s">
        <v>8</v>
      </c>
      <c r="B27" s="618">
        <f>'[1]Tenofovir Disoproxil Fumarate'!D96</f>
        <v>14.37</v>
      </c>
      <c r="C27" s="616"/>
      <c r="D27" s="616"/>
      <c r="E27" s="616"/>
    </row>
    <row r="28" spans="1:5" ht="16.5" customHeight="1" x14ac:dyDescent="0.3">
      <c r="A28" s="614" t="s">
        <v>10</v>
      </c>
      <c r="B28" s="620">
        <f>B27/50</f>
        <v>0.28739999999999999</v>
      </c>
      <c r="C28" s="616"/>
      <c r="D28" s="616"/>
      <c r="E28" s="616"/>
    </row>
    <row r="29" spans="1:5" ht="15.75" customHeight="1" x14ac:dyDescent="0.25">
      <c r="A29" s="616"/>
      <c r="B29" s="616"/>
      <c r="C29" s="616"/>
      <c r="D29" s="616"/>
      <c r="E29" s="616"/>
    </row>
    <row r="30" spans="1:5" ht="16.5" customHeight="1" x14ac:dyDescent="0.3">
      <c r="A30" s="622" t="s">
        <v>13</v>
      </c>
      <c r="B30" s="623" t="s">
        <v>14</v>
      </c>
      <c r="C30" s="622" t="s">
        <v>15</v>
      </c>
      <c r="D30" s="622" t="s">
        <v>16</v>
      </c>
      <c r="E30" s="622" t="s">
        <v>17</v>
      </c>
    </row>
    <row r="31" spans="1:5" ht="16.5" customHeight="1" x14ac:dyDescent="0.3">
      <c r="A31" s="624">
        <v>1</v>
      </c>
      <c r="B31" s="625">
        <v>70309229</v>
      </c>
      <c r="C31" s="625">
        <v>101747.3</v>
      </c>
      <c r="D31" s="626">
        <v>1.2</v>
      </c>
      <c r="E31" s="627">
        <v>17.03</v>
      </c>
    </row>
    <row r="32" spans="1:5" ht="16.5" customHeight="1" x14ac:dyDescent="0.3">
      <c r="A32" s="624">
        <v>2</v>
      </c>
      <c r="B32" s="625">
        <v>70157702</v>
      </c>
      <c r="C32" s="625">
        <v>103160</v>
      </c>
      <c r="D32" s="626">
        <v>1.2</v>
      </c>
      <c r="E32" s="626">
        <v>17.04</v>
      </c>
    </row>
    <row r="33" spans="1:7" ht="16.5" customHeight="1" x14ac:dyDescent="0.3">
      <c r="A33" s="624">
        <v>3</v>
      </c>
      <c r="B33" s="625">
        <v>69877450</v>
      </c>
      <c r="C33" s="625">
        <v>98949.5</v>
      </c>
      <c r="D33" s="626">
        <v>1.2</v>
      </c>
      <c r="E33" s="626">
        <v>17.04</v>
      </c>
    </row>
    <row r="34" spans="1:7" ht="16.5" customHeight="1" x14ac:dyDescent="0.3">
      <c r="A34" s="624">
        <v>4</v>
      </c>
      <c r="B34" s="625">
        <v>70180573</v>
      </c>
      <c r="C34" s="625">
        <v>99129.1</v>
      </c>
      <c r="D34" s="626">
        <v>1.2</v>
      </c>
      <c r="E34" s="626">
        <v>17.04</v>
      </c>
    </row>
    <row r="35" spans="1:7" ht="16.5" customHeight="1" x14ac:dyDescent="0.3">
      <c r="A35" s="624">
        <v>5</v>
      </c>
      <c r="B35" s="625">
        <v>70297651</v>
      </c>
      <c r="C35" s="625">
        <v>100492.5</v>
      </c>
      <c r="D35" s="626">
        <v>1.2</v>
      </c>
      <c r="E35" s="626">
        <v>17.04</v>
      </c>
    </row>
    <row r="36" spans="1:7" ht="16.5" customHeight="1" x14ac:dyDescent="0.3">
      <c r="A36" s="624">
        <v>6</v>
      </c>
      <c r="B36" s="628">
        <v>70246833</v>
      </c>
      <c r="C36" s="628">
        <v>101960.9</v>
      </c>
      <c r="D36" s="629">
        <v>1.2</v>
      </c>
      <c r="E36" s="629">
        <v>17.03</v>
      </c>
    </row>
    <row r="37" spans="1:7" ht="16.5" customHeight="1" x14ac:dyDescent="0.3">
      <c r="A37" s="630" t="s">
        <v>18</v>
      </c>
      <c r="B37" s="631">
        <f>AVERAGE(B31:B36)</f>
        <v>70178239.666666672</v>
      </c>
      <c r="C37" s="632">
        <f>AVERAGE(C31:C36)</f>
        <v>100906.55</v>
      </c>
      <c r="D37" s="633">
        <f>AVERAGE(D31:D36)</f>
        <v>1.2</v>
      </c>
      <c r="E37" s="633">
        <f>AVERAGE(E31:E36)</f>
        <v>17.036666666666665</v>
      </c>
    </row>
    <row r="38" spans="1:7" ht="16.5" customHeight="1" x14ac:dyDescent="0.3">
      <c r="A38" s="634" t="s">
        <v>19</v>
      </c>
      <c r="B38" s="635">
        <f>(STDEV(B31:B36)/B37)</f>
        <v>2.2712000421633255E-3</v>
      </c>
      <c r="C38" s="636"/>
      <c r="D38" s="636"/>
      <c r="E38" s="637"/>
    </row>
    <row r="39" spans="1:7" s="611" customFormat="1" ht="16.5" customHeight="1" x14ac:dyDescent="0.3">
      <c r="A39" s="638" t="s">
        <v>20</v>
      </c>
      <c r="B39" s="639">
        <f>COUNT(B31:B36)</f>
        <v>6</v>
      </c>
      <c r="C39" s="640"/>
      <c r="D39" s="641"/>
      <c r="E39" s="642"/>
    </row>
    <row r="40" spans="1:7" s="611" customFormat="1" ht="15.75" customHeight="1" x14ac:dyDescent="0.25">
      <c r="A40" s="616"/>
      <c r="B40" s="616"/>
      <c r="C40" s="616"/>
      <c r="D40" s="616"/>
      <c r="E40" s="616"/>
    </row>
    <row r="41" spans="1:7" s="611" customFormat="1" ht="16.5" customHeight="1" x14ac:dyDescent="0.3">
      <c r="A41" s="617" t="s">
        <v>21</v>
      </c>
      <c r="B41" s="643" t="s">
        <v>138</v>
      </c>
      <c r="C41" s="644"/>
      <c r="D41" s="644"/>
      <c r="E41" s="644"/>
    </row>
    <row r="42" spans="1:7" ht="16.5" customHeight="1" x14ac:dyDescent="0.3">
      <c r="A42" s="617"/>
      <c r="B42" s="643" t="s">
        <v>139</v>
      </c>
      <c r="C42" s="644"/>
      <c r="D42" s="644"/>
      <c r="E42" s="644"/>
    </row>
    <row r="43" spans="1:7" ht="16.5" customHeight="1" x14ac:dyDescent="0.3">
      <c r="A43" s="617"/>
      <c r="B43" s="643" t="s">
        <v>140</v>
      </c>
      <c r="C43" s="644"/>
      <c r="D43" s="644"/>
      <c r="E43" s="644"/>
    </row>
    <row r="44" spans="1:7" ht="14.25" customHeight="1" thickBot="1" x14ac:dyDescent="0.3">
      <c r="A44" s="646"/>
      <c r="B44" s="647"/>
      <c r="D44" s="648"/>
      <c r="F44" s="649"/>
      <c r="G44" s="649"/>
    </row>
    <row r="45" spans="1:7" ht="15" customHeight="1" x14ac:dyDescent="0.3">
      <c r="B45" s="745" t="s">
        <v>23</v>
      </c>
      <c r="C45" s="745"/>
      <c r="E45" s="650" t="s">
        <v>24</v>
      </c>
      <c r="F45" s="651"/>
      <c r="G45" s="650" t="s">
        <v>25</v>
      </c>
    </row>
    <row r="46" spans="1:7" ht="15" customHeight="1" x14ac:dyDescent="0.3">
      <c r="A46" s="652" t="s">
        <v>26</v>
      </c>
      <c r="B46" s="653" t="s">
        <v>141</v>
      </c>
      <c r="C46" s="653"/>
      <c r="E46" s="653" t="s">
        <v>142</v>
      </c>
      <c r="G46" s="653"/>
    </row>
    <row r="47" spans="1:7" ht="15" customHeight="1" x14ac:dyDescent="0.3">
      <c r="A47" s="652" t="s">
        <v>27</v>
      </c>
      <c r="B47" s="654"/>
      <c r="C47" s="654"/>
      <c r="E47" s="654"/>
      <c r="G47" s="655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zoomScale="60" workbookViewId="0">
      <selection activeCell="E47" sqref="E47"/>
    </sheetView>
  </sheetViews>
  <sheetFormatPr defaultRowHeight="13.5" x14ac:dyDescent="0.25"/>
  <cols>
    <col min="1" max="1" width="27.5703125" style="699" customWidth="1"/>
    <col min="2" max="2" width="20.42578125" style="699" customWidth="1"/>
    <col min="3" max="3" width="31.85546875" style="699" customWidth="1"/>
    <col min="4" max="4" width="25.85546875" style="699" customWidth="1"/>
    <col min="5" max="5" width="25.7109375" style="699" customWidth="1"/>
    <col min="6" max="6" width="23.140625" style="699" customWidth="1"/>
    <col min="7" max="7" width="28.42578125" style="699" customWidth="1"/>
    <col min="8" max="8" width="21.5703125" style="699" customWidth="1"/>
    <col min="9" max="9" width="9.140625" style="699" customWidth="1"/>
    <col min="10" max="16384" width="9.140625" style="735"/>
  </cols>
  <sheetData>
    <row r="1" spans="1:5" ht="18.75" customHeight="1" x14ac:dyDescent="0.3">
      <c r="A1" s="746" t="s">
        <v>0</v>
      </c>
      <c r="B1" s="746"/>
      <c r="C1" s="746"/>
      <c r="D1" s="746"/>
      <c r="E1" s="746"/>
    </row>
    <row r="2" spans="1:5" ht="16.5" customHeight="1" x14ac:dyDescent="0.3">
      <c r="A2" s="700" t="s">
        <v>1</v>
      </c>
      <c r="B2" s="701" t="s">
        <v>2</v>
      </c>
    </row>
    <row r="3" spans="1:5" ht="16.5" customHeight="1" x14ac:dyDescent="0.3">
      <c r="A3" s="702" t="s">
        <v>3</v>
      </c>
      <c r="B3" s="702" t="s">
        <v>136</v>
      </c>
      <c r="D3" s="703"/>
      <c r="E3" s="704"/>
    </row>
    <row r="4" spans="1:5" ht="16.5" customHeight="1" x14ac:dyDescent="0.3">
      <c r="A4" s="705" t="s">
        <v>4</v>
      </c>
      <c r="B4" s="706" t="s">
        <v>132</v>
      </c>
      <c r="C4" s="704"/>
      <c r="D4" s="704"/>
      <c r="E4" s="704"/>
    </row>
    <row r="5" spans="1:5" ht="16.5" customHeight="1" x14ac:dyDescent="0.3">
      <c r="A5" s="705" t="s">
        <v>6</v>
      </c>
      <c r="B5" s="703">
        <v>99.7</v>
      </c>
      <c r="C5" s="704"/>
      <c r="D5" s="704"/>
      <c r="E5" s="704"/>
    </row>
    <row r="6" spans="1:5" ht="16.5" customHeight="1" x14ac:dyDescent="0.3">
      <c r="A6" s="702" t="s">
        <v>8</v>
      </c>
      <c r="B6" s="706">
        <v>24.24</v>
      </c>
      <c r="C6" s="704"/>
      <c r="D6" s="704"/>
      <c r="E6" s="704"/>
    </row>
    <row r="7" spans="1:5" ht="16.5" customHeight="1" x14ac:dyDescent="0.3">
      <c r="A7" s="702" t="s">
        <v>10</v>
      </c>
      <c r="B7" s="707">
        <f>B6/50*10/25</f>
        <v>0.19391999999999998</v>
      </c>
      <c r="C7" s="704"/>
      <c r="D7" s="704"/>
      <c r="E7" s="704"/>
    </row>
    <row r="8" spans="1:5" ht="15.75" customHeight="1" x14ac:dyDescent="0.25">
      <c r="A8" s="704"/>
      <c r="B8" s="708"/>
      <c r="C8" s="704"/>
      <c r="D8" s="704"/>
      <c r="E8" s="704"/>
    </row>
    <row r="9" spans="1:5" ht="16.5" customHeight="1" x14ac:dyDescent="0.3">
      <c r="A9" s="709" t="s">
        <v>13</v>
      </c>
      <c r="B9" s="710" t="s">
        <v>14</v>
      </c>
      <c r="C9" s="709" t="s">
        <v>15</v>
      </c>
      <c r="D9" s="709" t="s">
        <v>16</v>
      </c>
      <c r="E9" s="709" t="s">
        <v>17</v>
      </c>
    </row>
    <row r="10" spans="1:5" ht="16.5" customHeight="1" x14ac:dyDescent="0.3">
      <c r="A10" s="711">
        <v>1</v>
      </c>
      <c r="B10" s="712">
        <v>9534779</v>
      </c>
      <c r="C10" s="712">
        <v>103224.6</v>
      </c>
      <c r="D10" s="713">
        <v>1.1000000000000001</v>
      </c>
      <c r="E10" s="714">
        <v>7.8</v>
      </c>
    </row>
    <row r="11" spans="1:5" ht="16.5" customHeight="1" x14ac:dyDescent="0.3">
      <c r="A11" s="711">
        <v>2</v>
      </c>
      <c r="B11" s="712">
        <v>9602763</v>
      </c>
      <c r="C11" s="712">
        <v>103259.3</v>
      </c>
      <c r="D11" s="713">
        <v>1.1000000000000001</v>
      </c>
      <c r="E11" s="713">
        <v>7.8</v>
      </c>
    </row>
    <row r="12" spans="1:5" ht="16.5" customHeight="1" x14ac:dyDescent="0.3">
      <c r="A12" s="711">
        <v>3</v>
      </c>
      <c r="B12" s="712">
        <v>9569240</v>
      </c>
      <c r="C12" s="712">
        <v>102783.2</v>
      </c>
      <c r="D12" s="713">
        <v>1</v>
      </c>
      <c r="E12" s="713">
        <v>7.8</v>
      </c>
    </row>
    <row r="13" spans="1:5" ht="16.5" customHeight="1" x14ac:dyDescent="0.3">
      <c r="A13" s="711">
        <v>4</v>
      </c>
      <c r="B13" s="712">
        <v>9577048</v>
      </c>
      <c r="C13" s="712">
        <v>102789.7</v>
      </c>
      <c r="D13" s="713">
        <v>1</v>
      </c>
      <c r="E13" s="713">
        <v>7.8</v>
      </c>
    </row>
    <row r="14" spans="1:5" ht="16.5" customHeight="1" x14ac:dyDescent="0.3">
      <c r="A14" s="711">
        <v>5</v>
      </c>
      <c r="B14" s="712">
        <v>9600462</v>
      </c>
      <c r="C14" s="712">
        <v>102604.9</v>
      </c>
      <c r="D14" s="713">
        <v>1.1000000000000001</v>
      </c>
      <c r="E14" s="713">
        <v>7.8</v>
      </c>
    </row>
    <row r="15" spans="1:5" ht="16.5" customHeight="1" x14ac:dyDescent="0.3">
      <c r="A15" s="711">
        <v>6</v>
      </c>
      <c r="B15" s="715">
        <v>9589961</v>
      </c>
      <c r="C15" s="715">
        <v>102940.5</v>
      </c>
      <c r="D15" s="716">
        <v>1</v>
      </c>
      <c r="E15" s="716">
        <v>7.8</v>
      </c>
    </row>
    <row r="16" spans="1:5" ht="16.5" customHeight="1" x14ac:dyDescent="0.3">
      <c r="A16" s="717" t="s">
        <v>18</v>
      </c>
      <c r="B16" s="718">
        <f>AVERAGE(B10:B15)</f>
        <v>9579042.166666666</v>
      </c>
      <c r="C16" s="719">
        <f>AVERAGE(C10:C15)</f>
        <v>102933.70000000001</v>
      </c>
      <c r="D16" s="720">
        <f>AVERAGE(D10:D15)</f>
        <v>1.05</v>
      </c>
      <c r="E16" s="720">
        <f>AVERAGE(E10:E15)</f>
        <v>7.8</v>
      </c>
    </row>
    <row r="17" spans="1:5" ht="16.5" customHeight="1" x14ac:dyDescent="0.3">
      <c r="A17" s="721" t="s">
        <v>19</v>
      </c>
      <c r="B17" s="722">
        <f>(STDEV(B10:B15)/B16)</f>
        <v>2.6409949878422778E-3</v>
      </c>
      <c r="C17" s="723"/>
      <c r="D17" s="723"/>
      <c r="E17" s="724"/>
    </row>
    <row r="18" spans="1:5" s="699" customFormat="1" ht="16.5" customHeight="1" x14ac:dyDescent="0.3">
      <c r="A18" s="725" t="s">
        <v>20</v>
      </c>
      <c r="B18" s="726">
        <f>COUNT(B10:B15)</f>
        <v>6</v>
      </c>
      <c r="C18" s="727"/>
      <c r="D18" s="728"/>
      <c r="E18" s="729"/>
    </row>
    <row r="19" spans="1:5" s="699" customFormat="1" ht="15.75" customHeight="1" x14ac:dyDescent="0.25">
      <c r="A19" s="704"/>
      <c r="B19" s="704"/>
      <c r="C19" s="704"/>
      <c r="D19" s="704"/>
      <c r="E19" s="704"/>
    </row>
    <row r="20" spans="1:5" s="699" customFormat="1" ht="16.5" customHeight="1" x14ac:dyDescent="0.3">
      <c r="A20" s="705" t="s">
        <v>21</v>
      </c>
      <c r="B20" s="730" t="s">
        <v>138</v>
      </c>
      <c r="C20" s="731"/>
      <c r="D20" s="731"/>
      <c r="E20" s="731"/>
    </row>
    <row r="21" spans="1:5" ht="16.5" customHeight="1" x14ac:dyDescent="0.3">
      <c r="A21" s="705"/>
      <c r="B21" s="730" t="s">
        <v>139</v>
      </c>
      <c r="C21" s="731"/>
      <c r="D21" s="731"/>
      <c r="E21" s="731"/>
    </row>
    <row r="22" spans="1:5" ht="16.5" customHeight="1" x14ac:dyDescent="0.3">
      <c r="A22" s="705"/>
      <c r="B22" s="730" t="s">
        <v>140</v>
      </c>
      <c r="C22" s="731"/>
      <c r="D22" s="731"/>
      <c r="E22" s="731"/>
    </row>
    <row r="23" spans="1:5" ht="15.75" customHeight="1" x14ac:dyDescent="0.25">
      <c r="A23" s="704"/>
      <c r="B23" s="704"/>
      <c r="C23" s="704"/>
      <c r="D23" s="704"/>
      <c r="E23" s="704"/>
    </row>
    <row r="24" spans="1:5" ht="16.5" customHeight="1" x14ac:dyDescent="0.3">
      <c r="A24" s="700" t="s">
        <v>1</v>
      </c>
      <c r="B24" s="701" t="s">
        <v>22</v>
      </c>
    </row>
    <row r="25" spans="1:5" ht="16.5" customHeight="1" x14ac:dyDescent="0.3">
      <c r="A25" s="705" t="s">
        <v>4</v>
      </c>
      <c r="B25" s="702" t="s">
        <v>132</v>
      </c>
      <c r="C25" s="704"/>
      <c r="D25" s="704"/>
      <c r="E25" s="704"/>
    </row>
    <row r="26" spans="1:5" ht="16.5" customHeight="1" x14ac:dyDescent="0.3">
      <c r="A26" s="705" t="s">
        <v>6</v>
      </c>
      <c r="B26" s="706">
        <v>99.3</v>
      </c>
      <c r="C26" s="704"/>
      <c r="D26" s="704"/>
      <c r="E26" s="704"/>
    </row>
    <row r="27" spans="1:5" ht="16.5" customHeight="1" x14ac:dyDescent="0.3">
      <c r="A27" s="702" t="s">
        <v>8</v>
      </c>
      <c r="B27" s="706">
        <f>[2]EFFAVIRENZ!D96</f>
        <v>29.06</v>
      </c>
      <c r="C27" s="704"/>
      <c r="D27" s="704"/>
      <c r="E27" s="704"/>
    </row>
    <row r="28" spans="1:5" ht="16.5" customHeight="1" x14ac:dyDescent="0.3">
      <c r="A28" s="702" t="s">
        <v>10</v>
      </c>
      <c r="B28" s="707">
        <f>B27/50</f>
        <v>0.58119999999999994</v>
      </c>
      <c r="C28" s="704"/>
      <c r="D28" s="704"/>
      <c r="E28" s="704"/>
    </row>
    <row r="29" spans="1:5" ht="15.75" customHeight="1" x14ac:dyDescent="0.25">
      <c r="A29" s="704"/>
      <c r="B29" s="704"/>
      <c r="C29" s="704"/>
      <c r="D29" s="704"/>
      <c r="E29" s="704"/>
    </row>
    <row r="30" spans="1:5" ht="16.5" customHeight="1" x14ac:dyDescent="0.3">
      <c r="A30" s="709" t="s">
        <v>13</v>
      </c>
      <c r="B30" s="710" t="s">
        <v>14</v>
      </c>
      <c r="C30" s="709" t="s">
        <v>15</v>
      </c>
      <c r="D30" s="709" t="s">
        <v>16</v>
      </c>
      <c r="E30" s="709" t="s">
        <v>17</v>
      </c>
    </row>
    <row r="31" spans="1:5" ht="16.5" customHeight="1" x14ac:dyDescent="0.3">
      <c r="A31" s="711">
        <v>1</v>
      </c>
      <c r="B31" s="712">
        <v>227300336</v>
      </c>
      <c r="C31" s="712">
        <v>120558.3</v>
      </c>
      <c r="D31" s="713">
        <v>1.0900000000000001</v>
      </c>
      <c r="E31" s="714">
        <v>23.67</v>
      </c>
    </row>
    <row r="32" spans="1:5" ht="16.5" customHeight="1" x14ac:dyDescent="0.3">
      <c r="A32" s="711">
        <v>2</v>
      </c>
      <c r="B32" s="712">
        <v>226800948</v>
      </c>
      <c r="C32" s="712">
        <v>121302.9</v>
      </c>
      <c r="D32" s="713">
        <v>1.1100000000000001</v>
      </c>
      <c r="E32" s="713">
        <v>23.67</v>
      </c>
    </row>
    <row r="33" spans="1:7" ht="16.5" customHeight="1" x14ac:dyDescent="0.3">
      <c r="A33" s="711">
        <v>3</v>
      </c>
      <c r="B33" s="712">
        <v>226133275</v>
      </c>
      <c r="C33" s="712">
        <v>120521.3</v>
      </c>
      <c r="D33" s="713">
        <v>1.1000000000000001</v>
      </c>
      <c r="E33" s="713">
        <v>23.67</v>
      </c>
    </row>
    <row r="34" spans="1:7" ht="16.5" customHeight="1" x14ac:dyDescent="0.3">
      <c r="A34" s="711">
        <v>4</v>
      </c>
      <c r="B34" s="712">
        <v>227041353</v>
      </c>
      <c r="C34" s="712">
        <v>120961.2</v>
      </c>
      <c r="D34" s="713">
        <v>1.1000000000000001</v>
      </c>
      <c r="E34" s="713">
        <v>23.67</v>
      </c>
    </row>
    <row r="35" spans="1:7" ht="16.5" customHeight="1" x14ac:dyDescent="0.3">
      <c r="A35" s="711">
        <v>5</v>
      </c>
      <c r="B35" s="712">
        <v>227264480</v>
      </c>
      <c r="C35" s="712">
        <v>120732</v>
      </c>
      <c r="D35" s="713">
        <v>1.1100000000000001</v>
      </c>
      <c r="E35" s="713">
        <v>23.67</v>
      </c>
    </row>
    <row r="36" spans="1:7" ht="16.5" customHeight="1" x14ac:dyDescent="0.3">
      <c r="A36" s="711">
        <v>6</v>
      </c>
      <c r="B36" s="715">
        <v>227213243</v>
      </c>
      <c r="C36" s="715">
        <v>121167.9</v>
      </c>
      <c r="D36" s="716">
        <v>1.0900000000000001</v>
      </c>
      <c r="E36" s="716">
        <v>23.67</v>
      </c>
    </row>
    <row r="37" spans="1:7" ht="16.5" customHeight="1" x14ac:dyDescent="0.3">
      <c r="A37" s="717" t="s">
        <v>18</v>
      </c>
      <c r="B37" s="718">
        <f>AVERAGE(B31:B36)</f>
        <v>226958939.16666666</v>
      </c>
      <c r="C37" s="719">
        <f>AVERAGE(C31:C36)</f>
        <v>120873.93333333333</v>
      </c>
      <c r="D37" s="720">
        <f>AVERAGE(D31:D36)</f>
        <v>1.1000000000000001</v>
      </c>
      <c r="E37" s="720">
        <f>AVERAGE(E31:E36)</f>
        <v>23.67</v>
      </c>
    </row>
    <row r="38" spans="1:7" ht="16.5" customHeight="1" x14ac:dyDescent="0.3">
      <c r="A38" s="721" t="s">
        <v>19</v>
      </c>
      <c r="B38" s="722">
        <f>(STDEV(B31:B36)/B37)</f>
        <v>1.9586534707193627E-3</v>
      </c>
      <c r="C38" s="723"/>
      <c r="D38" s="723"/>
      <c r="E38" s="724"/>
    </row>
    <row r="39" spans="1:7" s="699" customFormat="1" ht="16.5" customHeight="1" x14ac:dyDescent="0.3">
      <c r="A39" s="725" t="s">
        <v>20</v>
      </c>
      <c r="B39" s="726">
        <f>COUNT(B31:B36)</f>
        <v>6</v>
      </c>
      <c r="C39" s="727"/>
      <c r="D39" s="728"/>
      <c r="E39" s="729"/>
    </row>
    <row r="40" spans="1:7" s="699" customFormat="1" ht="15.75" customHeight="1" x14ac:dyDescent="0.25">
      <c r="A40" s="704"/>
      <c r="B40" s="704"/>
      <c r="C40" s="704"/>
      <c r="D40" s="704"/>
      <c r="E40" s="704"/>
    </row>
    <row r="41" spans="1:7" s="699" customFormat="1" ht="16.5" customHeight="1" x14ac:dyDescent="0.3">
      <c r="A41" s="705" t="s">
        <v>21</v>
      </c>
      <c r="B41" s="730" t="s">
        <v>138</v>
      </c>
      <c r="C41" s="731"/>
      <c r="D41" s="731"/>
      <c r="E41" s="731"/>
    </row>
    <row r="42" spans="1:7" ht="16.5" customHeight="1" x14ac:dyDescent="0.3">
      <c r="A42" s="705"/>
      <c r="B42" s="730" t="s">
        <v>139</v>
      </c>
      <c r="C42" s="731"/>
      <c r="D42" s="731"/>
      <c r="E42" s="731"/>
    </row>
    <row r="43" spans="1:7" ht="16.5" customHeight="1" x14ac:dyDescent="0.3">
      <c r="A43" s="705"/>
      <c r="B43" s="730" t="s">
        <v>140</v>
      </c>
      <c r="C43" s="731"/>
      <c r="D43" s="731"/>
      <c r="E43" s="731"/>
    </row>
    <row r="44" spans="1:7" ht="14.25" customHeight="1" thickBot="1" x14ac:dyDescent="0.3">
      <c r="A44" s="732"/>
      <c r="B44" s="733"/>
      <c r="D44" s="734"/>
      <c r="F44" s="735"/>
      <c r="G44" s="735"/>
    </row>
    <row r="45" spans="1:7" ht="15" customHeight="1" x14ac:dyDescent="0.3">
      <c r="B45" s="747" t="s">
        <v>23</v>
      </c>
      <c r="C45" s="747"/>
      <c r="E45" s="736" t="s">
        <v>24</v>
      </c>
      <c r="F45" s="737"/>
      <c r="G45" s="736" t="s">
        <v>25</v>
      </c>
    </row>
    <row r="46" spans="1:7" ht="15" customHeight="1" x14ac:dyDescent="0.3">
      <c r="A46" s="738" t="s">
        <v>26</v>
      </c>
      <c r="B46" s="739" t="s">
        <v>141</v>
      </c>
      <c r="C46" s="739"/>
      <c r="E46" s="739" t="s">
        <v>142</v>
      </c>
      <c r="G46" s="739"/>
    </row>
    <row r="47" spans="1:7" ht="15" customHeight="1" x14ac:dyDescent="0.3">
      <c r="A47" s="738" t="s">
        <v>27</v>
      </c>
      <c r="B47" s="740"/>
      <c r="C47" s="740"/>
      <c r="E47" s="740"/>
      <c r="G47" s="74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51" t="s">
        <v>28</v>
      </c>
      <c r="B11" s="752"/>
      <c r="C11" s="752"/>
      <c r="D11" s="752"/>
      <c r="E11" s="752"/>
      <c r="F11" s="753"/>
      <c r="G11" s="43"/>
    </row>
    <row r="12" spans="1:7" ht="16.5" customHeight="1" x14ac:dyDescent="0.3">
      <c r="A12" s="750" t="s">
        <v>29</v>
      </c>
      <c r="B12" s="750"/>
      <c r="C12" s="750"/>
      <c r="D12" s="750"/>
      <c r="E12" s="750"/>
      <c r="F12" s="750"/>
      <c r="G12" s="42"/>
    </row>
    <row r="14" spans="1:7" ht="16.5" customHeight="1" x14ac:dyDescent="0.3">
      <c r="A14" s="755" t="s">
        <v>30</v>
      </c>
      <c r="B14" s="755"/>
      <c r="C14" s="12" t="s">
        <v>5</v>
      </c>
    </row>
    <row r="15" spans="1:7" ht="16.5" customHeight="1" x14ac:dyDescent="0.3">
      <c r="A15" s="755" t="s">
        <v>31</v>
      </c>
      <c r="B15" s="755"/>
      <c r="C15" s="12" t="s">
        <v>7</v>
      </c>
    </row>
    <row r="16" spans="1:7" ht="16.5" customHeight="1" x14ac:dyDescent="0.3">
      <c r="A16" s="755" t="s">
        <v>32</v>
      </c>
      <c r="B16" s="755"/>
      <c r="C16" s="12" t="s">
        <v>9</v>
      </c>
    </row>
    <row r="17" spans="1:5" ht="16.5" customHeight="1" x14ac:dyDescent="0.3">
      <c r="A17" s="755" t="s">
        <v>33</v>
      </c>
      <c r="B17" s="755"/>
      <c r="C17" s="12" t="s">
        <v>11</v>
      </c>
    </row>
    <row r="18" spans="1:5" ht="16.5" customHeight="1" x14ac:dyDescent="0.3">
      <c r="A18" s="755" t="s">
        <v>34</v>
      </c>
      <c r="B18" s="755"/>
      <c r="C18" s="49" t="s">
        <v>12</v>
      </c>
    </row>
    <row r="19" spans="1:5" ht="16.5" customHeight="1" x14ac:dyDescent="0.3">
      <c r="A19" s="755" t="s">
        <v>35</v>
      </c>
      <c r="B19" s="75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50" t="s">
        <v>1</v>
      </c>
      <c r="B21" s="750"/>
      <c r="C21" s="11" t="s">
        <v>36</v>
      </c>
      <c r="D21" s="18"/>
    </row>
    <row r="22" spans="1:5" ht="15.75" customHeight="1" x14ac:dyDescent="0.3">
      <c r="A22" s="754"/>
      <c r="B22" s="754"/>
      <c r="C22" s="9"/>
      <c r="D22" s="754"/>
      <c r="E22" s="754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1870.34</v>
      </c>
      <c r="D24" s="39">
        <f t="shared" ref="D24:D43" si="0">(C24-$C$46)/$C$46</f>
        <v>-2.2114749919940464E-2</v>
      </c>
      <c r="E24" s="5"/>
    </row>
    <row r="25" spans="1:5" ht="15.75" customHeight="1" x14ac:dyDescent="0.3">
      <c r="C25" s="47">
        <v>1885.53</v>
      </c>
      <c r="D25" s="40">
        <f t="shared" si="0"/>
        <v>-1.4172837246995352E-2</v>
      </c>
      <c r="E25" s="5"/>
    </row>
    <row r="26" spans="1:5" ht="15.75" customHeight="1" x14ac:dyDescent="0.3">
      <c r="C26" s="47">
        <v>1879.27</v>
      </c>
      <c r="D26" s="40">
        <f t="shared" si="0"/>
        <v>-1.7445804549999708E-2</v>
      </c>
      <c r="E26" s="5"/>
    </row>
    <row r="27" spans="1:5" ht="15.75" customHeight="1" x14ac:dyDescent="0.3">
      <c r="C27" s="47">
        <v>1933.54</v>
      </c>
      <c r="D27" s="40">
        <f t="shared" si="0"/>
        <v>1.0928626046493346E-2</v>
      </c>
      <c r="E27" s="5"/>
    </row>
    <row r="28" spans="1:5" ht="15.75" customHeight="1" x14ac:dyDescent="0.3">
      <c r="C28" s="47">
        <v>1872.94</v>
      </c>
      <c r="D28" s="40">
        <f t="shared" si="0"/>
        <v>-2.0755370528916215E-2</v>
      </c>
      <c r="E28" s="5"/>
    </row>
    <row r="29" spans="1:5" ht="15.75" customHeight="1" x14ac:dyDescent="0.3">
      <c r="C29" s="47">
        <v>1911.67</v>
      </c>
      <c r="D29" s="40">
        <f t="shared" si="0"/>
        <v>-5.058459849291738E-4</v>
      </c>
      <c r="E29" s="5"/>
    </row>
    <row r="30" spans="1:5" ht="15.75" customHeight="1" x14ac:dyDescent="0.3">
      <c r="C30" s="47">
        <v>1918.14</v>
      </c>
      <c r="D30" s="40">
        <f t="shared" si="0"/>
        <v>2.8769173458117673E-3</v>
      </c>
      <c r="E30" s="5"/>
    </row>
    <row r="31" spans="1:5" ht="15.75" customHeight="1" x14ac:dyDescent="0.3">
      <c r="C31" s="47">
        <v>1934.53</v>
      </c>
      <c r="D31" s="40">
        <f t="shared" si="0"/>
        <v>1.1446235891537171E-2</v>
      </c>
      <c r="E31" s="5"/>
    </row>
    <row r="32" spans="1:5" ht="15.75" customHeight="1" x14ac:dyDescent="0.3">
      <c r="C32" s="47">
        <v>1913.28</v>
      </c>
      <c r="D32" s="40">
        <f t="shared" si="0"/>
        <v>3.3592356105112821E-4</v>
      </c>
      <c r="E32" s="5"/>
    </row>
    <row r="33" spans="1:7" ht="15.75" customHeight="1" x14ac:dyDescent="0.3">
      <c r="C33" s="47">
        <v>1950.75</v>
      </c>
      <c r="D33" s="40">
        <f t="shared" si="0"/>
        <v>1.9926671938618769E-2</v>
      </c>
      <c r="E33" s="5"/>
    </row>
    <row r="34" spans="1:7" ht="15.75" customHeight="1" x14ac:dyDescent="0.3">
      <c r="C34" s="47">
        <v>1941.32</v>
      </c>
      <c r="D34" s="40">
        <f t="shared" si="0"/>
        <v>1.4996307455019516E-2</v>
      </c>
      <c r="E34" s="5"/>
    </row>
    <row r="35" spans="1:7" ht="15.75" customHeight="1" x14ac:dyDescent="0.3">
      <c r="C35" s="47">
        <v>1945.14</v>
      </c>
      <c r="D35" s="40">
        <f t="shared" si="0"/>
        <v>1.6993549483370504E-2</v>
      </c>
      <c r="E35" s="5"/>
    </row>
    <row r="36" spans="1:7" ht="15.75" customHeight="1" x14ac:dyDescent="0.3">
      <c r="C36" s="47">
        <v>1949.56</v>
      </c>
      <c r="D36" s="40">
        <f t="shared" si="0"/>
        <v>1.9304494448111522E-2</v>
      </c>
      <c r="E36" s="5"/>
    </row>
    <row r="37" spans="1:7" ht="15.75" customHeight="1" x14ac:dyDescent="0.3">
      <c r="C37" s="47">
        <v>1881.98</v>
      </c>
      <c r="D37" s="40">
        <f t="shared" si="0"/>
        <v>-1.6028912953970645E-2</v>
      </c>
      <c r="E37" s="5"/>
    </row>
    <row r="38" spans="1:7" ht="15.75" customHeight="1" x14ac:dyDescent="0.3">
      <c r="C38" s="47">
        <v>1913.44</v>
      </c>
      <c r="D38" s="40">
        <f t="shared" si="0"/>
        <v>4.1957767742188944E-4</v>
      </c>
      <c r="E38" s="5"/>
    </row>
    <row r="39" spans="1:7" ht="15.75" customHeight="1" x14ac:dyDescent="0.3">
      <c r="C39" s="47">
        <v>1888.2</v>
      </c>
      <c r="D39" s="40">
        <f t="shared" si="0"/>
        <v>-1.277685918005895E-2</v>
      </c>
      <c r="E39" s="5"/>
    </row>
    <row r="40" spans="1:7" ht="15.75" customHeight="1" x14ac:dyDescent="0.3">
      <c r="C40" s="47">
        <v>1900.83</v>
      </c>
      <c r="D40" s="40">
        <f t="shared" si="0"/>
        <v>-6.1734123690454241E-3</v>
      </c>
      <c r="E40" s="5"/>
    </row>
    <row r="41" spans="1:7" ht="15.75" customHeight="1" x14ac:dyDescent="0.3">
      <c r="C41" s="47">
        <v>1901.61</v>
      </c>
      <c r="D41" s="40">
        <f t="shared" si="0"/>
        <v>-5.7655985517381866E-3</v>
      </c>
      <c r="E41" s="5"/>
    </row>
    <row r="42" spans="1:7" ht="15.75" customHeight="1" x14ac:dyDescent="0.3">
      <c r="C42" s="47">
        <v>1920.36</v>
      </c>
      <c r="D42" s="40">
        <f t="shared" si="0"/>
        <v>4.0376182104553812E-3</v>
      </c>
      <c r="E42" s="5"/>
    </row>
    <row r="43" spans="1:7" ht="16.5" customHeight="1" x14ac:dyDescent="0.3">
      <c r="C43" s="48">
        <v>1940.32</v>
      </c>
      <c r="D43" s="41">
        <f t="shared" si="0"/>
        <v>1.4473469227702526E-2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38252.75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1912.6375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748">
        <f>C46</f>
        <v>1912.6375</v>
      </c>
      <c r="C49" s="45">
        <f>-IF(C46&lt;=80,10%,IF(C46&lt;250,7.5%,5%))</f>
        <v>-0.05</v>
      </c>
      <c r="D49" s="33">
        <f>IF(C46&lt;=80,C46*0.9,IF(C46&lt;250,C46*0.925,C46*0.95))</f>
        <v>1817.005625</v>
      </c>
    </row>
    <row r="50" spans="1:6" ht="17.25" customHeight="1" x14ac:dyDescent="0.3">
      <c r="B50" s="749"/>
      <c r="C50" s="46">
        <f>IF(C46&lt;=80, 10%, IF(C46&lt;250, 7.5%, 5%))</f>
        <v>0.05</v>
      </c>
      <c r="D50" s="33">
        <f>IF(C46&lt;=80, C46*1.1, IF(C46&lt;250, C46*1.075, C46*1.05))</f>
        <v>2008.2693750000001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3" zoomScale="50" zoomScaleNormal="40" zoomScalePageLayoutView="50" workbookViewId="0">
      <selection activeCell="H81" sqref="H8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86" t="s">
        <v>42</v>
      </c>
      <c r="B1" s="786"/>
      <c r="C1" s="786"/>
      <c r="D1" s="786"/>
      <c r="E1" s="786"/>
      <c r="F1" s="786"/>
      <c r="G1" s="786"/>
      <c r="H1" s="786"/>
      <c r="I1" s="786"/>
    </row>
    <row r="2" spans="1:9" ht="18.75" customHeight="1" x14ac:dyDescent="0.25">
      <c r="A2" s="786"/>
      <c r="B2" s="786"/>
      <c r="C2" s="786"/>
      <c r="D2" s="786"/>
      <c r="E2" s="786"/>
      <c r="F2" s="786"/>
      <c r="G2" s="786"/>
      <c r="H2" s="786"/>
      <c r="I2" s="786"/>
    </row>
    <row r="3" spans="1:9" ht="18.75" customHeight="1" x14ac:dyDescent="0.25">
      <c r="A3" s="786"/>
      <c r="B3" s="786"/>
      <c r="C3" s="786"/>
      <c r="D3" s="786"/>
      <c r="E3" s="786"/>
      <c r="F3" s="786"/>
      <c r="G3" s="786"/>
      <c r="H3" s="786"/>
      <c r="I3" s="786"/>
    </row>
    <row r="4" spans="1:9" ht="18.75" customHeight="1" x14ac:dyDescent="0.25">
      <c r="A4" s="786"/>
      <c r="B4" s="786"/>
      <c r="C4" s="786"/>
      <c r="D4" s="786"/>
      <c r="E4" s="786"/>
      <c r="F4" s="786"/>
      <c r="G4" s="786"/>
      <c r="H4" s="786"/>
      <c r="I4" s="786"/>
    </row>
    <row r="5" spans="1:9" ht="18.75" customHeight="1" x14ac:dyDescent="0.25">
      <c r="A5" s="786"/>
      <c r="B5" s="786"/>
      <c r="C5" s="786"/>
      <c r="D5" s="786"/>
      <c r="E5" s="786"/>
      <c r="F5" s="786"/>
      <c r="G5" s="786"/>
      <c r="H5" s="786"/>
      <c r="I5" s="786"/>
    </row>
    <row r="6" spans="1:9" ht="18.75" customHeight="1" x14ac:dyDescent="0.25">
      <c r="A6" s="786"/>
      <c r="B6" s="786"/>
      <c r="C6" s="786"/>
      <c r="D6" s="786"/>
      <c r="E6" s="786"/>
      <c r="F6" s="786"/>
      <c r="G6" s="786"/>
      <c r="H6" s="786"/>
      <c r="I6" s="786"/>
    </row>
    <row r="7" spans="1:9" ht="18.75" customHeight="1" x14ac:dyDescent="0.25">
      <c r="A7" s="786"/>
      <c r="B7" s="786"/>
      <c r="C7" s="786"/>
      <c r="D7" s="786"/>
      <c r="E7" s="786"/>
      <c r="F7" s="786"/>
      <c r="G7" s="786"/>
      <c r="H7" s="786"/>
      <c r="I7" s="786"/>
    </row>
    <row r="8" spans="1:9" x14ac:dyDescent="0.25">
      <c r="A8" s="787" t="s">
        <v>43</v>
      </c>
      <c r="B8" s="787"/>
      <c r="C8" s="787"/>
      <c r="D8" s="787"/>
      <c r="E8" s="787"/>
      <c r="F8" s="787"/>
      <c r="G8" s="787"/>
      <c r="H8" s="787"/>
      <c r="I8" s="787"/>
    </row>
    <row r="9" spans="1:9" x14ac:dyDescent="0.25">
      <c r="A9" s="787"/>
      <c r="B9" s="787"/>
      <c r="C9" s="787"/>
      <c r="D9" s="787"/>
      <c r="E9" s="787"/>
      <c r="F9" s="787"/>
      <c r="G9" s="787"/>
      <c r="H9" s="787"/>
      <c r="I9" s="787"/>
    </row>
    <row r="10" spans="1:9" x14ac:dyDescent="0.25">
      <c r="A10" s="787"/>
      <c r="B10" s="787"/>
      <c r="C10" s="787"/>
      <c r="D10" s="787"/>
      <c r="E10" s="787"/>
      <c r="F10" s="787"/>
      <c r="G10" s="787"/>
      <c r="H10" s="787"/>
      <c r="I10" s="787"/>
    </row>
    <row r="11" spans="1:9" x14ac:dyDescent="0.25">
      <c r="A11" s="787"/>
      <c r="B11" s="787"/>
      <c r="C11" s="787"/>
      <c r="D11" s="787"/>
      <c r="E11" s="787"/>
      <c r="F11" s="787"/>
      <c r="G11" s="787"/>
      <c r="H11" s="787"/>
      <c r="I11" s="787"/>
    </row>
    <row r="12" spans="1:9" x14ac:dyDescent="0.25">
      <c r="A12" s="787"/>
      <c r="B12" s="787"/>
      <c r="C12" s="787"/>
      <c r="D12" s="787"/>
      <c r="E12" s="787"/>
      <c r="F12" s="787"/>
      <c r="G12" s="787"/>
      <c r="H12" s="787"/>
      <c r="I12" s="787"/>
    </row>
    <row r="13" spans="1:9" x14ac:dyDescent="0.25">
      <c r="A13" s="787"/>
      <c r="B13" s="787"/>
      <c r="C13" s="787"/>
      <c r="D13" s="787"/>
      <c r="E13" s="787"/>
      <c r="F13" s="787"/>
      <c r="G13" s="787"/>
      <c r="H13" s="787"/>
      <c r="I13" s="787"/>
    </row>
    <row r="14" spans="1:9" x14ac:dyDescent="0.25">
      <c r="A14" s="787"/>
      <c r="B14" s="787"/>
      <c r="C14" s="787"/>
      <c r="D14" s="787"/>
      <c r="E14" s="787"/>
      <c r="F14" s="787"/>
      <c r="G14" s="787"/>
      <c r="H14" s="787"/>
      <c r="I14" s="787"/>
    </row>
    <row r="15" spans="1:9" ht="19.5" customHeight="1" x14ac:dyDescent="0.3">
      <c r="A15" s="50"/>
    </row>
    <row r="16" spans="1:9" ht="19.5" customHeight="1" x14ac:dyDescent="0.3">
      <c r="A16" s="759" t="s">
        <v>28</v>
      </c>
      <c r="B16" s="760"/>
      <c r="C16" s="760"/>
      <c r="D16" s="760"/>
      <c r="E16" s="760"/>
      <c r="F16" s="760"/>
      <c r="G16" s="760"/>
      <c r="H16" s="761"/>
    </row>
    <row r="17" spans="1:14" ht="20.25" customHeight="1" x14ac:dyDescent="0.25">
      <c r="A17" s="762" t="s">
        <v>44</v>
      </c>
      <c r="B17" s="762"/>
      <c r="C17" s="762"/>
      <c r="D17" s="762"/>
      <c r="E17" s="762"/>
      <c r="F17" s="762"/>
      <c r="G17" s="762"/>
      <c r="H17" s="762"/>
    </row>
    <row r="18" spans="1:14" ht="26.25" customHeight="1" x14ac:dyDescent="0.4">
      <c r="A18" s="52" t="s">
        <v>30</v>
      </c>
      <c r="B18" s="758" t="s">
        <v>5</v>
      </c>
      <c r="C18" s="758"/>
      <c r="D18" s="198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763" t="s">
        <v>128</v>
      </c>
      <c r="C20" s="763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763" t="s">
        <v>11</v>
      </c>
      <c r="C21" s="763"/>
      <c r="D21" s="763"/>
      <c r="E21" s="763"/>
      <c r="F21" s="763"/>
      <c r="G21" s="763"/>
      <c r="H21" s="763"/>
      <c r="I21" s="56"/>
    </row>
    <row r="22" spans="1:14" ht="26.25" customHeight="1" x14ac:dyDescent="0.4">
      <c r="A22" s="52" t="s">
        <v>34</v>
      </c>
      <c r="B22" s="57">
        <v>42634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>
        <v>42688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58" t="s">
        <v>128</v>
      </c>
      <c r="C26" s="758"/>
    </row>
    <row r="27" spans="1:14" ht="26.25" customHeight="1" x14ac:dyDescent="0.4">
      <c r="A27" s="61" t="s">
        <v>45</v>
      </c>
      <c r="B27" s="764" t="s">
        <v>129</v>
      </c>
      <c r="C27" s="764"/>
    </row>
    <row r="28" spans="1:14" ht="27" customHeight="1" x14ac:dyDescent="0.4">
      <c r="A28" s="61" t="s">
        <v>6</v>
      </c>
      <c r="B28" s="62">
        <v>98.8</v>
      </c>
    </row>
    <row r="29" spans="1:14" s="3" customFormat="1" ht="27" customHeight="1" x14ac:dyDescent="0.4">
      <c r="A29" s="61" t="s">
        <v>46</v>
      </c>
      <c r="B29" s="63">
        <v>0</v>
      </c>
      <c r="C29" s="765" t="s">
        <v>47</v>
      </c>
      <c r="D29" s="766"/>
      <c r="E29" s="766"/>
      <c r="F29" s="766"/>
      <c r="G29" s="767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98.8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768" t="s">
        <v>50</v>
      </c>
      <c r="D31" s="769"/>
      <c r="E31" s="769"/>
      <c r="F31" s="769"/>
      <c r="G31" s="769"/>
      <c r="H31" s="770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768" t="s">
        <v>52</v>
      </c>
      <c r="D32" s="769"/>
      <c r="E32" s="769"/>
      <c r="F32" s="769"/>
      <c r="G32" s="769"/>
      <c r="H32" s="77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771" t="s">
        <v>56</v>
      </c>
      <c r="E36" s="772"/>
      <c r="F36" s="771" t="s">
        <v>57</v>
      </c>
      <c r="G36" s="77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10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24507316</v>
      </c>
      <c r="E38" s="85">
        <f>IF(ISBLANK(D38),"-",$D$48/$D$45*D38)</f>
        <v>28577160.954495419</v>
      </c>
      <c r="F38" s="84">
        <v>30159781</v>
      </c>
      <c r="G38" s="86">
        <f>IF(ISBLANK(F38),"-",$D$48/$F$45*F38)</f>
        <v>28707925.513687767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24552854</v>
      </c>
      <c r="E39" s="90">
        <f>IF(ISBLANK(D39),"-",$D$48/$D$45*D39)</f>
        <v>28630261.292188287</v>
      </c>
      <c r="F39" s="89">
        <v>30159946</v>
      </c>
      <c r="G39" s="91">
        <f>IF(ISBLANK(F39),"-",$D$48/$F$45*F39)</f>
        <v>28708082.570786748</v>
      </c>
      <c r="I39" s="775">
        <f>ABS((F43/D43*D42)-F42)/D42</f>
        <v>4.070446103365457E-3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24549990</v>
      </c>
      <c r="E40" s="90">
        <f>IF(ISBLANK(D40),"-",$D$48/$D$45*D40)</f>
        <v>28626921.677643239</v>
      </c>
      <c r="F40" s="89">
        <v>30155172</v>
      </c>
      <c r="G40" s="91">
        <f>IF(ISBLANK(F40),"-",$D$48/$F$45*F40)</f>
        <v>28703538.385389566</v>
      </c>
      <c r="I40" s="775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24536720</v>
      </c>
      <c r="E42" s="100">
        <f>AVERAGE(E38:E41)</f>
        <v>28611447.974775646</v>
      </c>
      <c r="F42" s="99">
        <f>AVERAGE(F38:F41)</f>
        <v>30158299.666666668</v>
      </c>
      <c r="G42" s="101">
        <f>AVERAGE(G38:G41)</f>
        <v>28706515.489954695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13.02</v>
      </c>
      <c r="E43" s="92"/>
      <c r="F43" s="104">
        <v>15.95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13.02</v>
      </c>
      <c r="E44" s="107"/>
      <c r="F44" s="106">
        <f>F43*$B$34</f>
        <v>15.95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125</v>
      </c>
      <c r="C45" s="105" t="s">
        <v>74</v>
      </c>
      <c r="D45" s="109">
        <f>D44*$B$30/100</f>
        <v>12.863759999999999</v>
      </c>
      <c r="E45" s="110"/>
      <c r="F45" s="109">
        <f>F44*$B$30/100</f>
        <v>15.758599999999999</v>
      </c>
      <c r="H45" s="102"/>
    </row>
    <row r="46" spans="1:14" ht="19.5" customHeight="1" x14ac:dyDescent="0.3">
      <c r="A46" s="776" t="s">
        <v>75</v>
      </c>
      <c r="B46" s="777"/>
      <c r="C46" s="105" t="s">
        <v>76</v>
      </c>
      <c r="D46" s="111">
        <f>D45/$B$45</f>
        <v>0.10291007999999999</v>
      </c>
      <c r="E46" s="112"/>
      <c r="F46" s="113">
        <f>F45/$B$45</f>
        <v>0.12606880000000001</v>
      </c>
      <c r="H46" s="102"/>
    </row>
    <row r="47" spans="1:14" ht="27" customHeight="1" x14ac:dyDescent="0.4">
      <c r="A47" s="778"/>
      <c r="B47" s="779"/>
      <c r="C47" s="114" t="s">
        <v>77</v>
      </c>
      <c r="D47" s="115">
        <v>0.12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28658981.732365172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1.9326500271555586E-3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 xml:space="preserve">Tenofovir Disoproxil Fumarate </v>
      </c>
      <c r="H56" s="131"/>
    </row>
    <row r="57" spans="1:12" ht="18.75" x14ac:dyDescent="0.3">
      <c r="A57" s="128" t="s">
        <v>85</v>
      </c>
      <c r="B57" s="199">
        <f>Uniformity!C46</f>
        <v>1912.6375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200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2</v>
      </c>
      <c r="C60" s="780" t="s">
        <v>91</v>
      </c>
      <c r="D60" s="783">
        <v>1911.02</v>
      </c>
      <c r="E60" s="134">
        <v>1</v>
      </c>
      <c r="F60" s="135"/>
      <c r="G60" s="200" t="str">
        <f>IF(ISBLANK(F60),"-",(F60/$D$50*$D$47*$B$68)*($B$57/$D$60))</f>
        <v>-</v>
      </c>
      <c r="H60" s="218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92</v>
      </c>
      <c r="B61" s="77">
        <v>25</v>
      </c>
      <c r="C61" s="781"/>
      <c r="D61" s="784"/>
      <c r="E61" s="136">
        <v>2</v>
      </c>
      <c r="F61" s="89"/>
      <c r="G61" s="201" t="str">
        <f>IF(ISBLANK(F61),"-",(F61/$D$50*$D$47*$B$68)*($B$57/$D$60))</f>
        <v>-</v>
      </c>
      <c r="H61" s="219" t="str">
        <f t="shared" si="0"/>
        <v>-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781"/>
      <c r="D62" s="784"/>
      <c r="E62" s="136">
        <v>3</v>
      </c>
      <c r="F62" s="137"/>
      <c r="G62" s="201" t="str">
        <f>IF(ISBLANK(F62),"-",(F62/$D$50*$D$47*$B$68)*($B$57/$D$60))</f>
        <v>-</v>
      </c>
      <c r="H62" s="219" t="str">
        <f t="shared" si="0"/>
        <v>-</v>
      </c>
      <c r="L62" s="64"/>
    </row>
    <row r="63" spans="1:12" ht="27" customHeight="1" x14ac:dyDescent="0.4">
      <c r="A63" s="76" t="s">
        <v>94</v>
      </c>
      <c r="B63" s="77">
        <v>1</v>
      </c>
      <c r="C63" s="782"/>
      <c r="D63" s="785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780" t="s">
        <v>96</v>
      </c>
      <c r="D64" s="783">
        <v>1898.11</v>
      </c>
      <c r="E64" s="134">
        <v>1</v>
      </c>
      <c r="F64" s="135">
        <v>29140107</v>
      </c>
      <c r="G64" s="200">
        <f>IF(ISBLANK(F64),"-",(F64/$D$50*$D$47*$B$68)*($B$57/$D$64))</f>
        <v>307.37102860981724</v>
      </c>
      <c r="H64" s="218">
        <f t="shared" si="0"/>
        <v>102.45700953660575</v>
      </c>
    </row>
    <row r="65" spans="1:8" ht="26.25" customHeight="1" x14ac:dyDescent="0.4">
      <c r="A65" s="76" t="s">
        <v>97</v>
      </c>
      <c r="B65" s="77">
        <v>1</v>
      </c>
      <c r="C65" s="781"/>
      <c r="D65" s="784"/>
      <c r="E65" s="136">
        <v>2</v>
      </c>
      <c r="F65" s="89">
        <v>29040968</v>
      </c>
      <c r="G65" s="201">
        <f>IF(ISBLANK(F65),"-",(F65/$D$50*$D$47*$B$68)*($B$57/$D$64))</f>
        <v>306.32530642336991</v>
      </c>
      <c r="H65" s="219">
        <f t="shared" si="0"/>
        <v>102.10843547445663</v>
      </c>
    </row>
    <row r="66" spans="1:8" ht="26.25" customHeight="1" x14ac:dyDescent="0.4">
      <c r="A66" s="76" t="s">
        <v>98</v>
      </c>
      <c r="B66" s="77">
        <v>1</v>
      </c>
      <c r="C66" s="781"/>
      <c r="D66" s="784"/>
      <c r="E66" s="136">
        <v>3</v>
      </c>
      <c r="F66" s="89">
        <v>28731656</v>
      </c>
      <c r="G66" s="201">
        <f>IF(ISBLANK(F66),"-",(F66/$D$50*$D$47*$B$68)*($B$57/$D$64))</f>
        <v>303.06267092236226</v>
      </c>
      <c r="H66" s="219">
        <f t="shared" si="0"/>
        <v>101.0208903074541</v>
      </c>
    </row>
    <row r="67" spans="1:8" ht="27" customHeight="1" x14ac:dyDescent="0.4">
      <c r="A67" s="76" t="s">
        <v>99</v>
      </c>
      <c r="B67" s="77">
        <v>1</v>
      </c>
      <c r="C67" s="782"/>
      <c r="D67" s="785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100</v>
      </c>
      <c r="B68" s="140">
        <f>(B67/B66)*(B65/B64)*(B63/B62)*(B61/B60)*B59</f>
        <v>2500</v>
      </c>
      <c r="C68" s="780" t="s">
        <v>101</v>
      </c>
      <c r="D68" s="783">
        <v>1905.57</v>
      </c>
      <c r="E68" s="134">
        <v>1</v>
      </c>
      <c r="F68" s="135">
        <v>28741234</v>
      </c>
      <c r="G68" s="200">
        <f>IF(ISBLANK(F68),"-",(F68/$D$50*$D$47*$B$68)*($B$57/$D$68))</f>
        <v>301.97686293858942</v>
      </c>
      <c r="H68" s="219">
        <f t="shared" si="0"/>
        <v>100.65895431286313</v>
      </c>
    </row>
    <row r="69" spans="1:8" ht="27" customHeight="1" x14ac:dyDescent="0.4">
      <c r="A69" s="124" t="s">
        <v>102</v>
      </c>
      <c r="B69" s="141">
        <f>(D47*B68)/B56*B57</f>
        <v>1912.6375</v>
      </c>
      <c r="C69" s="781"/>
      <c r="D69" s="784"/>
      <c r="E69" s="136">
        <v>2</v>
      </c>
      <c r="F69" s="89">
        <v>28545322</v>
      </c>
      <c r="G69" s="201">
        <f>IF(ISBLANK(F69),"-",(F69/$D$50*$D$47*$B$68)*($B$57/$D$68))</f>
        <v>299.91846519644571</v>
      </c>
      <c r="H69" s="219">
        <f t="shared" si="0"/>
        <v>99.97282173214856</v>
      </c>
    </row>
    <row r="70" spans="1:8" ht="26.25" customHeight="1" x14ac:dyDescent="0.4">
      <c r="A70" s="793" t="s">
        <v>75</v>
      </c>
      <c r="B70" s="794"/>
      <c r="C70" s="781"/>
      <c r="D70" s="784"/>
      <c r="E70" s="136">
        <v>3</v>
      </c>
      <c r="F70" s="89">
        <v>28224090</v>
      </c>
      <c r="G70" s="201">
        <f>IF(ISBLANK(F70),"-",(F70/$D$50*$D$47*$B$68)*($B$57/$D$68))</f>
        <v>296.54336196895423</v>
      </c>
      <c r="H70" s="219">
        <f t="shared" si="0"/>
        <v>98.847787322984743</v>
      </c>
    </row>
    <row r="71" spans="1:8" ht="27" customHeight="1" x14ac:dyDescent="0.4">
      <c r="A71" s="795"/>
      <c r="B71" s="796"/>
      <c r="C71" s="792"/>
      <c r="D71" s="785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68</v>
      </c>
      <c r="G72" s="206">
        <f>AVERAGE(G60:G71)</f>
        <v>302.53294934325646</v>
      </c>
      <c r="H72" s="221">
        <f>AVERAGE(H60:H71)</f>
        <v>100.84431644775213</v>
      </c>
    </row>
    <row r="73" spans="1:8" ht="26.25" customHeight="1" x14ac:dyDescent="0.4">
      <c r="C73" s="142"/>
      <c r="D73" s="142"/>
      <c r="E73" s="142"/>
      <c r="F73" s="145" t="s">
        <v>81</v>
      </c>
      <c r="G73" s="205">
        <f>STDEV(G60:G71)/G72</f>
        <v>1.331142777007573E-2</v>
      </c>
      <c r="H73" s="205">
        <f>STDEV(H60:H71)/H72</f>
        <v>1.3311427770075745E-2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103</v>
      </c>
      <c r="B76" s="149" t="s">
        <v>104</v>
      </c>
      <c r="C76" s="788" t="str">
        <f>B26</f>
        <v xml:space="preserve">Tenofovir Disoproxil Fumarate </v>
      </c>
      <c r="D76" s="788"/>
      <c r="E76" s="150" t="s">
        <v>105</v>
      </c>
      <c r="F76" s="150"/>
      <c r="G76" s="151">
        <f>H72</f>
        <v>100.84431644775213</v>
      </c>
      <c r="H76" s="152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74" t="str">
        <f>B26</f>
        <v xml:space="preserve">Tenofovir Disoproxil Fumarate </v>
      </c>
      <c r="C79" s="774"/>
    </row>
    <row r="80" spans="1:8" ht="26.25" customHeight="1" x14ac:dyDescent="0.4">
      <c r="A80" s="61" t="s">
        <v>45</v>
      </c>
      <c r="B80" s="774" t="str">
        <f>B27</f>
        <v>T11-8</v>
      </c>
      <c r="C80" s="774"/>
    </row>
    <row r="81" spans="1:12" ht="27" customHeight="1" x14ac:dyDescent="0.4">
      <c r="A81" s="61" t="s">
        <v>6</v>
      </c>
      <c r="B81" s="153">
        <v>98.8</v>
      </c>
    </row>
    <row r="82" spans="1:12" s="3" customFormat="1" ht="27" customHeight="1" x14ac:dyDescent="0.4">
      <c r="A82" s="61" t="s">
        <v>46</v>
      </c>
      <c r="B82" s="63">
        <v>0</v>
      </c>
      <c r="C82" s="765" t="s">
        <v>47</v>
      </c>
      <c r="D82" s="766"/>
      <c r="E82" s="766"/>
      <c r="F82" s="766"/>
      <c r="G82" s="767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98.8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768" t="s">
        <v>108</v>
      </c>
      <c r="D84" s="769"/>
      <c r="E84" s="769"/>
      <c r="F84" s="769"/>
      <c r="G84" s="769"/>
      <c r="H84" s="770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768" t="s">
        <v>109</v>
      </c>
      <c r="D85" s="769"/>
      <c r="E85" s="769"/>
      <c r="F85" s="769"/>
      <c r="G85" s="769"/>
      <c r="H85" s="77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54" t="s">
        <v>56</v>
      </c>
      <c r="E89" s="155"/>
      <c r="F89" s="771" t="s">
        <v>57</v>
      </c>
      <c r="G89" s="773"/>
    </row>
    <row r="90" spans="1:12" ht="27" customHeight="1" x14ac:dyDescent="0.4">
      <c r="A90" s="76" t="s">
        <v>58</v>
      </c>
      <c r="B90" s="77">
        <v>1</v>
      </c>
      <c r="C90" s="156" t="s">
        <v>59</v>
      </c>
      <c r="D90" s="79" t="s">
        <v>60</v>
      </c>
      <c r="E90" s="80" t="s">
        <v>61</v>
      </c>
      <c r="F90" s="79" t="s">
        <v>60</v>
      </c>
      <c r="G90" s="157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</v>
      </c>
      <c r="C91" s="158">
        <v>1</v>
      </c>
      <c r="D91" s="84">
        <v>76442268</v>
      </c>
      <c r="E91" s="85">
        <f>IF(ISBLANK(D91),"-",$D$101/$D$98*D91)</f>
        <v>74299663.827647522</v>
      </c>
      <c r="F91" s="84">
        <v>69666184</v>
      </c>
      <c r="G91" s="86">
        <f>IF(ISBLANK(F91),"-",$D$101/$F$98*F91)</f>
        <v>73809140.248226464</v>
      </c>
      <c r="I91" s="87"/>
    </row>
    <row r="92" spans="1:12" ht="26.25" customHeight="1" x14ac:dyDescent="0.4">
      <c r="A92" s="76" t="s">
        <v>64</v>
      </c>
      <c r="B92" s="77">
        <v>1</v>
      </c>
      <c r="C92" s="143">
        <v>2</v>
      </c>
      <c r="D92" s="89">
        <v>76602979</v>
      </c>
      <c r="E92" s="90">
        <f>IF(ISBLANK(D92),"-",$D$101/$D$98*D92)</f>
        <v>74455870.250949949</v>
      </c>
      <c r="F92" s="89">
        <v>69294455</v>
      </c>
      <c r="G92" s="91">
        <f>IF(ISBLANK(F92),"-",$D$101/$F$98*F92)</f>
        <v>73415305.013970867</v>
      </c>
      <c r="I92" s="775">
        <f>ABS((F96/D96*D95)-F95)/D95</f>
        <v>6.9171765164186307E-3</v>
      </c>
    </row>
    <row r="93" spans="1:12" ht="26.25" customHeight="1" x14ac:dyDescent="0.4">
      <c r="A93" s="76" t="s">
        <v>65</v>
      </c>
      <c r="B93" s="77">
        <v>1</v>
      </c>
      <c r="C93" s="143">
        <v>3</v>
      </c>
      <c r="D93" s="89">
        <v>76126865</v>
      </c>
      <c r="E93" s="90">
        <f>IF(ISBLANK(D93),"-",$D$101/$D$98*D93)</f>
        <v>73993101.274189129</v>
      </c>
      <c r="F93" s="89">
        <v>69699743</v>
      </c>
      <c r="G93" s="91">
        <f>IF(ISBLANK(F93),"-",$D$101/$F$98*F93)</f>
        <v>73844694.957776651</v>
      </c>
      <c r="I93" s="775"/>
    </row>
    <row r="94" spans="1:12" ht="27" customHeight="1" x14ac:dyDescent="0.4">
      <c r="A94" s="76" t="s">
        <v>66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1" t="s">
        <v>68</v>
      </c>
      <c r="D95" s="162">
        <f>AVERAGE(D91:D94)</f>
        <v>76390704</v>
      </c>
      <c r="E95" s="100">
        <f>AVERAGE(E91:E94)</f>
        <v>74249545.117595538</v>
      </c>
      <c r="F95" s="163">
        <f>AVERAGE(F91:F94)</f>
        <v>69553460.666666672</v>
      </c>
      <c r="G95" s="164">
        <f>AVERAGE(G91:G94)</f>
        <v>73689713.406657994</v>
      </c>
    </row>
    <row r="96" spans="1:12" ht="26.25" customHeight="1" x14ac:dyDescent="0.4">
      <c r="A96" s="76" t="s">
        <v>69</v>
      </c>
      <c r="B96" s="62">
        <v>1</v>
      </c>
      <c r="C96" s="165" t="s">
        <v>110</v>
      </c>
      <c r="D96" s="166">
        <v>15.62</v>
      </c>
      <c r="E96" s="92"/>
      <c r="F96" s="104">
        <v>14.33</v>
      </c>
    </row>
    <row r="97" spans="1:10" ht="26.25" customHeight="1" x14ac:dyDescent="0.4">
      <c r="A97" s="76" t="s">
        <v>71</v>
      </c>
      <c r="B97" s="62">
        <v>1</v>
      </c>
      <c r="C97" s="167" t="s">
        <v>111</v>
      </c>
      <c r="D97" s="168">
        <f>D96*$B$87</f>
        <v>15.62</v>
      </c>
      <c r="E97" s="107"/>
      <c r="F97" s="106">
        <f>F96*$B$87</f>
        <v>14.33</v>
      </c>
    </row>
    <row r="98" spans="1:10" ht="19.5" customHeight="1" x14ac:dyDescent="0.3">
      <c r="A98" s="76" t="s">
        <v>73</v>
      </c>
      <c r="B98" s="169">
        <f>(B97/B96)*(B95/B94)*(B93/B92)*(B91/B90)*B89</f>
        <v>50</v>
      </c>
      <c r="C98" s="167" t="s">
        <v>112</v>
      </c>
      <c r="D98" s="170">
        <f>D97*$B$83/100</f>
        <v>15.432559999999999</v>
      </c>
      <c r="E98" s="110"/>
      <c r="F98" s="109">
        <f>F97*$B$83/100</f>
        <v>14.158039999999998</v>
      </c>
    </row>
    <row r="99" spans="1:10" ht="19.5" customHeight="1" x14ac:dyDescent="0.3">
      <c r="A99" s="776" t="s">
        <v>75</v>
      </c>
      <c r="B99" s="790"/>
      <c r="C99" s="167" t="s">
        <v>113</v>
      </c>
      <c r="D99" s="171">
        <f>D98/$B$98</f>
        <v>0.30865119999999996</v>
      </c>
      <c r="E99" s="110"/>
      <c r="F99" s="113">
        <f>F98/$B$98</f>
        <v>0.28316079999999993</v>
      </c>
      <c r="G99" s="172"/>
      <c r="H99" s="102"/>
    </row>
    <row r="100" spans="1:10" ht="19.5" customHeight="1" x14ac:dyDescent="0.3">
      <c r="A100" s="778"/>
      <c r="B100" s="791"/>
      <c r="C100" s="167" t="s">
        <v>77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78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79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114</v>
      </c>
      <c r="D103" s="179">
        <f>AVERAGE(E91:E94,G91:G94)</f>
        <v>73969629.262126759</v>
      </c>
      <c r="F103" s="122"/>
      <c r="G103" s="180"/>
      <c r="H103" s="102"/>
      <c r="J103" s="181"/>
    </row>
    <row r="104" spans="1:10" ht="18.75" x14ac:dyDescent="0.3">
      <c r="C104" s="145" t="s">
        <v>81</v>
      </c>
      <c r="D104" s="182">
        <f>STDEV(E91:E94,G91:G94)/D103</f>
        <v>5.0386206760084885E-3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115</v>
      </c>
      <c r="B107" s="75">
        <v>1000</v>
      </c>
      <c r="C107" s="222" t="s">
        <v>116</v>
      </c>
      <c r="D107" s="222" t="s">
        <v>60</v>
      </c>
      <c r="E107" s="222" t="s">
        <v>117</v>
      </c>
      <c r="F107" s="184" t="s">
        <v>118</v>
      </c>
    </row>
    <row r="108" spans="1:10" ht="26.25" customHeight="1" x14ac:dyDescent="0.4">
      <c r="A108" s="76" t="s">
        <v>119</v>
      </c>
      <c r="B108" s="77">
        <v>1</v>
      </c>
      <c r="C108" s="227">
        <v>1</v>
      </c>
      <c r="D108" s="228">
        <v>62961916</v>
      </c>
      <c r="E108" s="202">
        <f t="shared" ref="E108:E113" si="1">IF(ISBLANK(D108),"-",D108/$D$103*$D$100*$B$116)</f>
        <v>255.3558127628896</v>
      </c>
      <c r="F108" s="229">
        <f t="shared" ref="F108:F113" si="2">IF(ISBLANK(D108), "-", (E108/$B$56)*100)</f>
        <v>85.118604254296542</v>
      </c>
    </row>
    <row r="109" spans="1:10" ht="26.25" customHeight="1" x14ac:dyDescent="0.4">
      <c r="A109" s="76" t="s">
        <v>92</v>
      </c>
      <c r="B109" s="77">
        <v>1</v>
      </c>
      <c r="C109" s="223">
        <v>2</v>
      </c>
      <c r="D109" s="225">
        <v>66874215</v>
      </c>
      <c r="E109" s="203">
        <f t="shared" si="1"/>
        <v>271.22299652070978</v>
      </c>
      <c r="F109" s="230">
        <f t="shared" si="2"/>
        <v>90.407665506903257</v>
      </c>
    </row>
    <row r="110" spans="1:10" ht="26.25" customHeight="1" x14ac:dyDescent="0.4">
      <c r="A110" s="76" t="s">
        <v>93</v>
      </c>
      <c r="B110" s="77">
        <v>1</v>
      </c>
      <c r="C110" s="223">
        <v>3</v>
      </c>
      <c r="D110" s="225">
        <v>65919635</v>
      </c>
      <c r="E110" s="203">
        <f t="shared" si="1"/>
        <v>267.35148867544029</v>
      </c>
      <c r="F110" s="230">
        <f t="shared" si="2"/>
        <v>89.117162891813422</v>
      </c>
    </row>
    <row r="111" spans="1:10" ht="26.25" customHeight="1" x14ac:dyDescent="0.4">
      <c r="A111" s="76" t="s">
        <v>94</v>
      </c>
      <c r="B111" s="77">
        <v>1</v>
      </c>
      <c r="C111" s="223">
        <v>4</v>
      </c>
      <c r="D111" s="225">
        <v>66583969</v>
      </c>
      <c r="E111" s="203">
        <f t="shared" si="1"/>
        <v>270.04584042477433</v>
      </c>
      <c r="F111" s="230">
        <f t="shared" si="2"/>
        <v>90.015280141591447</v>
      </c>
    </row>
    <row r="112" spans="1:10" ht="26.25" customHeight="1" x14ac:dyDescent="0.4">
      <c r="A112" s="76" t="s">
        <v>95</v>
      </c>
      <c r="B112" s="77">
        <v>1</v>
      </c>
      <c r="C112" s="223">
        <v>5</v>
      </c>
      <c r="D112" s="225">
        <v>65742342</v>
      </c>
      <c r="E112" s="203">
        <f t="shared" si="1"/>
        <v>266.63243816064704</v>
      </c>
      <c r="F112" s="230">
        <f t="shared" si="2"/>
        <v>88.877479386882356</v>
      </c>
    </row>
    <row r="113" spans="1:10" ht="27" customHeight="1" x14ac:dyDescent="0.4">
      <c r="A113" s="76" t="s">
        <v>97</v>
      </c>
      <c r="B113" s="77">
        <v>1</v>
      </c>
      <c r="C113" s="224">
        <v>6</v>
      </c>
      <c r="D113" s="226">
        <v>64113653</v>
      </c>
      <c r="E113" s="204">
        <f t="shared" si="1"/>
        <v>260.02693391689155</v>
      </c>
      <c r="F113" s="231">
        <f t="shared" si="2"/>
        <v>86.67564463896386</v>
      </c>
    </row>
    <row r="114" spans="1:10" ht="27" customHeight="1" x14ac:dyDescent="0.4">
      <c r="A114" s="76" t="s">
        <v>98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99</v>
      </c>
      <c r="B115" s="77">
        <v>1</v>
      </c>
      <c r="C115" s="185"/>
      <c r="D115" s="209" t="s">
        <v>68</v>
      </c>
      <c r="E115" s="211">
        <f>AVERAGE(E108:E113)</f>
        <v>265.10591841022546</v>
      </c>
      <c r="F115" s="233">
        <f>AVERAGE(F108:F113)</f>
        <v>88.368639470075138</v>
      </c>
    </row>
    <row r="116" spans="1:10" ht="27" customHeight="1" x14ac:dyDescent="0.4">
      <c r="A116" s="76" t="s">
        <v>100</v>
      </c>
      <c r="B116" s="108">
        <f>(B115/B114)*(B113/B112)*(B111/B110)*(B109/B108)*B107</f>
        <v>1000</v>
      </c>
      <c r="C116" s="186"/>
      <c r="D116" s="210" t="s">
        <v>81</v>
      </c>
      <c r="E116" s="208">
        <f>STDEV(E108:E113)/E115</f>
        <v>2.3256008931734285E-2</v>
      </c>
      <c r="F116" s="187">
        <f>STDEV(F108:F113)/F115</f>
        <v>2.3256008931734237E-2</v>
      </c>
      <c r="I116" s="50"/>
    </row>
    <row r="117" spans="1:10" ht="27" customHeight="1" x14ac:dyDescent="0.4">
      <c r="A117" s="776" t="s">
        <v>75</v>
      </c>
      <c r="B117" s="777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78"/>
      <c r="B118" s="779"/>
      <c r="C118" s="50"/>
      <c r="D118" s="212"/>
      <c r="E118" s="756" t="s">
        <v>120</v>
      </c>
      <c r="F118" s="757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121</v>
      </c>
      <c r="E119" s="215">
        <f>MIN(E108:E113)</f>
        <v>255.3558127628896</v>
      </c>
      <c r="F119" s="234">
        <f>MIN(F108:F113)</f>
        <v>85.118604254296542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122</v>
      </c>
      <c r="E120" s="216">
        <f>MAX(E108:E113)</f>
        <v>271.22299652070978</v>
      </c>
      <c r="F120" s="235">
        <f>MAX(F108:F113)</f>
        <v>90.407665506903257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103</v>
      </c>
      <c r="B124" s="149" t="s">
        <v>123</v>
      </c>
      <c r="C124" s="788" t="str">
        <f>B26</f>
        <v xml:space="preserve">Tenofovir Disoproxil Fumarate </v>
      </c>
      <c r="D124" s="788"/>
      <c r="E124" s="150" t="s">
        <v>124</v>
      </c>
      <c r="F124" s="150"/>
      <c r="G124" s="236">
        <f>F115</f>
        <v>88.368639470075138</v>
      </c>
      <c r="H124" s="50"/>
      <c r="I124" s="50"/>
    </row>
    <row r="125" spans="1:10" ht="45.75" customHeight="1" x14ac:dyDescent="0.65">
      <c r="A125" s="60"/>
      <c r="B125" s="149" t="s">
        <v>125</v>
      </c>
      <c r="C125" s="61" t="s">
        <v>126</v>
      </c>
      <c r="D125" s="236">
        <f>MIN(F108:F113)</f>
        <v>85.118604254296542</v>
      </c>
      <c r="E125" s="161" t="s">
        <v>127</v>
      </c>
      <c r="F125" s="236">
        <f>MAX(F108:F113)</f>
        <v>90.407665506903257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89" t="s">
        <v>23</v>
      </c>
      <c r="C127" s="789"/>
      <c r="E127" s="156" t="s">
        <v>24</v>
      </c>
      <c r="F127" s="191"/>
      <c r="G127" s="789" t="s">
        <v>25</v>
      </c>
      <c r="H127" s="789"/>
    </row>
    <row r="128" spans="1:10" ht="69.95" customHeight="1" x14ac:dyDescent="0.3">
      <c r="A128" s="192" t="s">
        <v>26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27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24" zoomScale="50" zoomScaleNormal="40" zoomScalePageLayoutView="50" workbookViewId="0">
      <selection activeCell="B81" sqref="B8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86" t="s">
        <v>42</v>
      </c>
      <c r="B1" s="786"/>
      <c r="C1" s="786"/>
      <c r="D1" s="786"/>
      <c r="E1" s="786"/>
      <c r="F1" s="786"/>
      <c r="G1" s="786"/>
      <c r="H1" s="786"/>
      <c r="I1" s="786"/>
    </row>
    <row r="2" spans="1:9" ht="18.75" customHeight="1" x14ac:dyDescent="0.25">
      <c r="A2" s="786"/>
      <c r="B2" s="786"/>
      <c r="C2" s="786"/>
      <c r="D2" s="786"/>
      <c r="E2" s="786"/>
      <c r="F2" s="786"/>
      <c r="G2" s="786"/>
      <c r="H2" s="786"/>
      <c r="I2" s="786"/>
    </row>
    <row r="3" spans="1:9" ht="18.75" customHeight="1" x14ac:dyDescent="0.25">
      <c r="A3" s="786"/>
      <c r="B3" s="786"/>
      <c r="C3" s="786"/>
      <c r="D3" s="786"/>
      <c r="E3" s="786"/>
      <c r="F3" s="786"/>
      <c r="G3" s="786"/>
      <c r="H3" s="786"/>
      <c r="I3" s="786"/>
    </row>
    <row r="4" spans="1:9" ht="18.75" customHeight="1" x14ac:dyDescent="0.25">
      <c r="A4" s="786"/>
      <c r="B4" s="786"/>
      <c r="C4" s="786"/>
      <c r="D4" s="786"/>
      <c r="E4" s="786"/>
      <c r="F4" s="786"/>
      <c r="G4" s="786"/>
      <c r="H4" s="786"/>
      <c r="I4" s="786"/>
    </row>
    <row r="5" spans="1:9" ht="18.75" customHeight="1" x14ac:dyDescent="0.25">
      <c r="A5" s="786"/>
      <c r="B5" s="786"/>
      <c r="C5" s="786"/>
      <c r="D5" s="786"/>
      <c r="E5" s="786"/>
      <c r="F5" s="786"/>
      <c r="G5" s="786"/>
      <c r="H5" s="786"/>
      <c r="I5" s="786"/>
    </row>
    <row r="6" spans="1:9" ht="18.75" customHeight="1" x14ac:dyDescent="0.25">
      <c r="A6" s="786"/>
      <c r="B6" s="786"/>
      <c r="C6" s="786"/>
      <c r="D6" s="786"/>
      <c r="E6" s="786"/>
      <c r="F6" s="786"/>
      <c r="G6" s="786"/>
      <c r="H6" s="786"/>
      <c r="I6" s="786"/>
    </row>
    <row r="7" spans="1:9" ht="18.75" customHeight="1" x14ac:dyDescent="0.25">
      <c r="A7" s="786"/>
      <c r="B7" s="786"/>
      <c r="C7" s="786"/>
      <c r="D7" s="786"/>
      <c r="E7" s="786"/>
      <c r="F7" s="786"/>
      <c r="G7" s="786"/>
      <c r="H7" s="786"/>
      <c r="I7" s="786"/>
    </row>
    <row r="8" spans="1:9" x14ac:dyDescent="0.25">
      <c r="A8" s="787" t="s">
        <v>43</v>
      </c>
      <c r="B8" s="787"/>
      <c r="C8" s="787"/>
      <c r="D8" s="787"/>
      <c r="E8" s="787"/>
      <c r="F8" s="787"/>
      <c r="G8" s="787"/>
      <c r="H8" s="787"/>
      <c r="I8" s="787"/>
    </row>
    <row r="9" spans="1:9" x14ac:dyDescent="0.25">
      <c r="A9" s="787"/>
      <c r="B9" s="787"/>
      <c r="C9" s="787"/>
      <c r="D9" s="787"/>
      <c r="E9" s="787"/>
      <c r="F9" s="787"/>
      <c r="G9" s="787"/>
      <c r="H9" s="787"/>
      <c r="I9" s="787"/>
    </row>
    <row r="10" spans="1:9" x14ac:dyDescent="0.25">
      <c r="A10" s="787"/>
      <c r="B10" s="787"/>
      <c r="C10" s="787"/>
      <c r="D10" s="787"/>
      <c r="E10" s="787"/>
      <c r="F10" s="787"/>
      <c r="G10" s="787"/>
      <c r="H10" s="787"/>
      <c r="I10" s="787"/>
    </row>
    <row r="11" spans="1:9" x14ac:dyDescent="0.25">
      <c r="A11" s="787"/>
      <c r="B11" s="787"/>
      <c r="C11" s="787"/>
      <c r="D11" s="787"/>
      <c r="E11" s="787"/>
      <c r="F11" s="787"/>
      <c r="G11" s="787"/>
      <c r="H11" s="787"/>
      <c r="I11" s="787"/>
    </row>
    <row r="12" spans="1:9" x14ac:dyDescent="0.25">
      <c r="A12" s="787"/>
      <c r="B12" s="787"/>
      <c r="C12" s="787"/>
      <c r="D12" s="787"/>
      <c r="E12" s="787"/>
      <c r="F12" s="787"/>
      <c r="G12" s="787"/>
      <c r="H12" s="787"/>
      <c r="I12" s="787"/>
    </row>
    <row r="13" spans="1:9" x14ac:dyDescent="0.25">
      <c r="A13" s="787"/>
      <c r="B13" s="787"/>
      <c r="C13" s="787"/>
      <c r="D13" s="787"/>
      <c r="E13" s="787"/>
      <c r="F13" s="787"/>
      <c r="G13" s="787"/>
      <c r="H13" s="787"/>
      <c r="I13" s="787"/>
    </row>
    <row r="14" spans="1:9" x14ac:dyDescent="0.25">
      <c r="A14" s="787"/>
      <c r="B14" s="787"/>
      <c r="C14" s="787"/>
      <c r="D14" s="787"/>
      <c r="E14" s="787"/>
      <c r="F14" s="787"/>
      <c r="G14" s="787"/>
      <c r="H14" s="787"/>
      <c r="I14" s="787"/>
    </row>
    <row r="15" spans="1:9" ht="19.5" customHeight="1" x14ac:dyDescent="0.3">
      <c r="A15" s="237"/>
    </row>
    <row r="16" spans="1:9" ht="19.5" customHeight="1" x14ac:dyDescent="0.3">
      <c r="A16" s="759" t="s">
        <v>28</v>
      </c>
      <c r="B16" s="760"/>
      <c r="C16" s="760"/>
      <c r="D16" s="760"/>
      <c r="E16" s="760"/>
      <c r="F16" s="760"/>
      <c r="G16" s="760"/>
      <c r="H16" s="761"/>
    </row>
    <row r="17" spans="1:14" ht="20.25" customHeight="1" x14ac:dyDescent="0.25">
      <c r="A17" s="762" t="s">
        <v>44</v>
      </c>
      <c r="B17" s="762"/>
      <c r="C17" s="762"/>
      <c r="D17" s="762"/>
      <c r="E17" s="762"/>
      <c r="F17" s="762"/>
      <c r="G17" s="762"/>
      <c r="H17" s="762"/>
    </row>
    <row r="18" spans="1:14" ht="26.25" customHeight="1" x14ac:dyDescent="0.4">
      <c r="A18" s="239" t="s">
        <v>30</v>
      </c>
      <c r="B18" s="758" t="s">
        <v>5</v>
      </c>
      <c r="C18" s="758"/>
      <c r="D18" s="385"/>
      <c r="E18" s="240"/>
      <c r="F18" s="241"/>
      <c r="G18" s="241"/>
      <c r="H18" s="241"/>
    </row>
    <row r="19" spans="1:14" ht="26.25" customHeight="1" x14ac:dyDescent="0.4">
      <c r="A19" s="239" t="s">
        <v>31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32</v>
      </c>
      <c r="B20" s="763" t="s">
        <v>134</v>
      </c>
      <c r="C20" s="763"/>
      <c r="D20" s="241"/>
      <c r="E20" s="241"/>
      <c r="F20" s="241"/>
      <c r="G20" s="241"/>
      <c r="H20" s="241"/>
    </row>
    <row r="21" spans="1:14" ht="26.25" customHeight="1" x14ac:dyDescent="0.4">
      <c r="A21" s="239" t="s">
        <v>33</v>
      </c>
      <c r="B21" s="763" t="s">
        <v>11</v>
      </c>
      <c r="C21" s="763"/>
      <c r="D21" s="763"/>
      <c r="E21" s="763"/>
      <c r="F21" s="763"/>
      <c r="G21" s="763"/>
      <c r="H21" s="763"/>
      <c r="I21" s="243"/>
    </row>
    <row r="22" spans="1:14" ht="26.25" customHeight="1" x14ac:dyDescent="0.4">
      <c r="A22" s="239" t="s">
        <v>34</v>
      </c>
      <c r="B22" s="244">
        <v>42634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35</v>
      </c>
      <c r="B23" s="244">
        <v>42688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758" t="s">
        <v>130</v>
      </c>
      <c r="C26" s="758"/>
    </row>
    <row r="27" spans="1:14" ht="26.25" customHeight="1" x14ac:dyDescent="0.4">
      <c r="A27" s="248" t="s">
        <v>45</v>
      </c>
      <c r="B27" s="764" t="s">
        <v>131</v>
      </c>
      <c r="C27" s="764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46</v>
      </c>
      <c r="B29" s="250">
        <v>0</v>
      </c>
      <c r="C29" s="765" t="s">
        <v>47</v>
      </c>
      <c r="D29" s="766"/>
      <c r="E29" s="766"/>
      <c r="F29" s="766"/>
      <c r="G29" s="767"/>
      <c r="I29" s="251"/>
      <c r="J29" s="251"/>
      <c r="K29" s="251"/>
      <c r="L29" s="251"/>
    </row>
    <row r="30" spans="1:14" s="3" customFormat="1" ht="19.5" customHeight="1" x14ac:dyDescent="0.3">
      <c r="A30" s="248" t="s">
        <v>48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49</v>
      </c>
      <c r="B31" s="255">
        <v>1</v>
      </c>
      <c r="C31" s="768" t="s">
        <v>50</v>
      </c>
      <c r="D31" s="769"/>
      <c r="E31" s="769"/>
      <c r="F31" s="769"/>
      <c r="G31" s="769"/>
      <c r="H31" s="770"/>
      <c r="I31" s="251"/>
      <c r="J31" s="251"/>
      <c r="K31" s="251"/>
      <c r="L31" s="251"/>
    </row>
    <row r="32" spans="1:14" s="3" customFormat="1" ht="27" customHeight="1" x14ac:dyDescent="0.4">
      <c r="A32" s="248" t="s">
        <v>51</v>
      </c>
      <c r="B32" s="255">
        <v>1</v>
      </c>
      <c r="C32" s="768" t="s">
        <v>52</v>
      </c>
      <c r="D32" s="769"/>
      <c r="E32" s="769"/>
      <c r="F32" s="769"/>
      <c r="G32" s="769"/>
      <c r="H32" s="770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53</v>
      </c>
      <c r="B34" s="260">
        <f>B31/B32</f>
        <v>1</v>
      </c>
      <c r="C34" s="238" t="s">
        <v>54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55</v>
      </c>
      <c r="B36" s="262">
        <v>50</v>
      </c>
      <c r="C36" s="238"/>
      <c r="D36" s="771" t="s">
        <v>56</v>
      </c>
      <c r="E36" s="772"/>
      <c r="F36" s="771" t="s">
        <v>57</v>
      </c>
      <c r="G36" s="773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58</v>
      </c>
      <c r="B37" s="264">
        <v>10</v>
      </c>
      <c r="C37" s="265" t="s">
        <v>59</v>
      </c>
      <c r="D37" s="266" t="s">
        <v>60</v>
      </c>
      <c r="E37" s="267" t="s">
        <v>61</v>
      </c>
      <c r="F37" s="266" t="s">
        <v>60</v>
      </c>
      <c r="G37" s="268" t="s">
        <v>61</v>
      </c>
      <c r="I37" s="269" t="s">
        <v>62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63</v>
      </c>
      <c r="B38" s="264">
        <v>25</v>
      </c>
      <c r="C38" s="270">
        <v>1</v>
      </c>
      <c r="D38" s="271">
        <v>63458130</v>
      </c>
      <c r="E38" s="272">
        <f>IF(ISBLANK(D38),"-",$D$48/$D$45*D38)</f>
        <v>74424070.199470818</v>
      </c>
      <c r="F38" s="271">
        <v>67350585</v>
      </c>
      <c r="G38" s="273">
        <f>IF(ISBLANK(F38),"-",$D$48/$F$45*F38)</f>
        <v>74917558.031403929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64</v>
      </c>
      <c r="B39" s="264">
        <v>1</v>
      </c>
      <c r="C39" s="275">
        <v>2</v>
      </c>
      <c r="D39" s="276">
        <v>63643458</v>
      </c>
      <c r="E39" s="277">
        <f>IF(ISBLANK(D39),"-",$D$48/$D$45*D39)</f>
        <v>74641423.974029377</v>
      </c>
      <c r="F39" s="276">
        <v>67354149</v>
      </c>
      <c r="G39" s="278">
        <f>IF(ISBLANK(F39),"-",$D$48/$F$45*F39)</f>
        <v>74921522.453937501</v>
      </c>
      <c r="I39" s="775">
        <f>ABS((F43/D43*D42)-F42)/D42</f>
        <v>5.4187888392834612E-3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65</v>
      </c>
      <c r="B40" s="264">
        <v>1</v>
      </c>
      <c r="C40" s="275">
        <v>3</v>
      </c>
      <c r="D40" s="276">
        <v>63568789</v>
      </c>
      <c r="E40" s="277">
        <f>IF(ISBLANK(D40),"-",$D$48/$D$45*D40)</f>
        <v>74553851.72918503</v>
      </c>
      <c r="F40" s="276">
        <v>67361366</v>
      </c>
      <c r="G40" s="278">
        <f>IF(ISBLANK(F40),"-",$D$48/$F$45*F40)</f>
        <v>74929550.29833281</v>
      </c>
      <c r="I40" s="775"/>
      <c r="L40" s="256"/>
      <c r="M40" s="256"/>
      <c r="N40" s="279"/>
    </row>
    <row r="41" spans="1:14" ht="27" customHeight="1" x14ac:dyDescent="0.4">
      <c r="A41" s="263" t="s">
        <v>66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67</v>
      </c>
      <c r="B42" s="264">
        <v>1</v>
      </c>
      <c r="C42" s="285" t="s">
        <v>68</v>
      </c>
      <c r="D42" s="286">
        <f>AVERAGE(D38:D41)</f>
        <v>63556792.333333336</v>
      </c>
      <c r="E42" s="287">
        <f>AVERAGE(E38:E41)</f>
        <v>74539781.967561737</v>
      </c>
      <c r="F42" s="286">
        <f>AVERAGE(F38:F41)</f>
        <v>67355366.666666672</v>
      </c>
      <c r="G42" s="288">
        <f>AVERAGE(G38:G41)</f>
        <v>74922876.927891418</v>
      </c>
      <c r="H42" s="289"/>
    </row>
    <row r="43" spans="1:14" ht="26.25" customHeight="1" x14ac:dyDescent="0.4">
      <c r="A43" s="263" t="s">
        <v>69</v>
      </c>
      <c r="B43" s="264">
        <v>1</v>
      </c>
      <c r="C43" s="290" t="s">
        <v>70</v>
      </c>
      <c r="D43" s="291">
        <v>12.88</v>
      </c>
      <c r="E43" s="279"/>
      <c r="F43" s="291">
        <v>13.58</v>
      </c>
      <c r="H43" s="289"/>
    </row>
    <row r="44" spans="1:14" ht="26.25" customHeight="1" x14ac:dyDescent="0.4">
      <c r="A44" s="263" t="s">
        <v>71</v>
      </c>
      <c r="B44" s="264">
        <v>1</v>
      </c>
      <c r="C44" s="292" t="s">
        <v>72</v>
      </c>
      <c r="D44" s="293">
        <f>D43*$B$34</f>
        <v>12.88</v>
      </c>
      <c r="E44" s="294"/>
      <c r="F44" s="293">
        <f>F43*$B$34</f>
        <v>13.58</v>
      </c>
      <c r="H44" s="289"/>
    </row>
    <row r="45" spans="1:14" ht="19.5" customHeight="1" x14ac:dyDescent="0.3">
      <c r="A45" s="263" t="s">
        <v>73</v>
      </c>
      <c r="B45" s="295">
        <f>(B44/B43)*(B42/B41)*(B40/B39)*(B38/B37)*B36</f>
        <v>125</v>
      </c>
      <c r="C45" s="292" t="s">
        <v>74</v>
      </c>
      <c r="D45" s="296">
        <f>D44*$B$30/100</f>
        <v>12.789840000000002</v>
      </c>
      <c r="E45" s="297"/>
      <c r="F45" s="296">
        <f>F44*$B$30/100</f>
        <v>13.48494</v>
      </c>
      <c r="H45" s="289"/>
    </row>
    <row r="46" spans="1:14" ht="19.5" customHeight="1" x14ac:dyDescent="0.3">
      <c r="A46" s="776" t="s">
        <v>75</v>
      </c>
      <c r="B46" s="777"/>
      <c r="C46" s="292" t="s">
        <v>76</v>
      </c>
      <c r="D46" s="298">
        <f>D45/$B$45</f>
        <v>0.10231872000000002</v>
      </c>
      <c r="E46" s="299"/>
      <c r="F46" s="300">
        <f>F45/$B$45</f>
        <v>0.10787951999999999</v>
      </c>
      <c r="H46" s="289"/>
    </row>
    <row r="47" spans="1:14" ht="27" customHeight="1" x14ac:dyDescent="0.4">
      <c r="A47" s="778"/>
      <c r="B47" s="779"/>
      <c r="C47" s="301" t="s">
        <v>77</v>
      </c>
      <c r="D47" s="302">
        <v>0.12</v>
      </c>
      <c r="E47" s="303"/>
      <c r="F47" s="299"/>
      <c r="H47" s="289"/>
    </row>
    <row r="48" spans="1:14" ht="18.75" x14ac:dyDescent="0.3">
      <c r="C48" s="304" t="s">
        <v>78</v>
      </c>
      <c r="D48" s="296">
        <f>D47*$B$45</f>
        <v>15</v>
      </c>
      <c r="F48" s="305"/>
      <c r="H48" s="289"/>
    </row>
    <row r="49" spans="1:12" ht="19.5" customHeight="1" x14ac:dyDescent="0.3">
      <c r="C49" s="306" t="s">
        <v>79</v>
      </c>
      <c r="D49" s="307">
        <f>D48/B34</f>
        <v>15</v>
      </c>
      <c r="F49" s="305"/>
      <c r="H49" s="289"/>
    </row>
    <row r="50" spans="1:12" ht="18.75" x14ac:dyDescent="0.3">
      <c r="C50" s="261" t="s">
        <v>80</v>
      </c>
      <c r="D50" s="308">
        <f>AVERAGE(E38:E41,G38:G41)</f>
        <v>74731329.447726592</v>
      </c>
      <c r="F50" s="309"/>
      <c r="H50" s="289"/>
    </row>
    <row r="51" spans="1:12" ht="18.75" x14ac:dyDescent="0.3">
      <c r="C51" s="263" t="s">
        <v>81</v>
      </c>
      <c r="D51" s="310">
        <f>STDEV(E38:E41,G38:G41)/D50</f>
        <v>2.956839849124504E-3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82</v>
      </c>
    </row>
    <row r="55" spans="1:12" ht="18.75" x14ac:dyDescent="0.3">
      <c r="A55" s="238" t="s">
        <v>83</v>
      </c>
      <c r="B55" s="315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316" t="s">
        <v>84</v>
      </c>
      <c r="B56" s="317">
        <v>300</v>
      </c>
      <c r="C56" s="238" t="str">
        <f>B20</f>
        <v xml:space="preserve"> Lamivudine </v>
      </c>
      <c r="H56" s="318"/>
    </row>
    <row r="57" spans="1:12" ht="18.75" x14ac:dyDescent="0.3">
      <c r="A57" s="315" t="s">
        <v>85</v>
      </c>
      <c r="B57" s="386">
        <f>Uniformity!C46</f>
        <v>1912.6375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86</v>
      </c>
      <c r="B59" s="262">
        <v>200</v>
      </c>
      <c r="C59" s="238"/>
      <c r="D59" s="319" t="s">
        <v>87</v>
      </c>
      <c r="E59" s="320" t="s">
        <v>59</v>
      </c>
      <c r="F59" s="320" t="s">
        <v>60</v>
      </c>
      <c r="G59" s="320" t="s">
        <v>88</v>
      </c>
      <c r="H59" s="265" t="s">
        <v>89</v>
      </c>
      <c r="L59" s="251"/>
    </row>
    <row r="60" spans="1:12" s="3" customFormat="1" ht="26.25" customHeight="1" x14ac:dyDescent="0.4">
      <c r="A60" s="263" t="s">
        <v>90</v>
      </c>
      <c r="B60" s="264">
        <v>2</v>
      </c>
      <c r="C60" s="780" t="s">
        <v>91</v>
      </c>
      <c r="D60" s="783">
        <f>'Tenofovir disoproxil fumarate'!D60:D63</f>
        <v>1911.02</v>
      </c>
      <c r="E60" s="321">
        <v>1</v>
      </c>
      <c r="F60" s="322"/>
      <c r="G60" s="387" t="str">
        <f>IF(ISBLANK(F60),"-",(F60/$D$50*$D$47*$B$68)*($B$57/$D$60))</f>
        <v>-</v>
      </c>
      <c r="H60" s="405" t="str">
        <f t="shared" ref="H60:H71" si="0">IF(ISBLANK(F60),"-",(G60/$B$56)*100)</f>
        <v>-</v>
      </c>
      <c r="L60" s="251"/>
    </row>
    <row r="61" spans="1:12" s="3" customFormat="1" ht="26.25" customHeight="1" x14ac:dyDescent="0.4">
      <c r="A61" s="263" t="s">
        <v>92</v>
      </c>
      <c r="B61" s="264">
        <v>25</v>
      </c>
      <c r="C61" s="781"/>
      <c r="D61" s="784"/>
      <c r="E61" s="323">
        <v>2</v>
      </c>
      <c r="F61" s="276"/>
      <c r="G61" s="388" t="str">
        <f>IF(ISBLANK(F61),"-",(F61/$D$50*$D$47*$B$68)*($B$57/$D$60))</f>
        <v>-</v>
      </c>
      <c r="H61" s="406" t="str">
        <f t="shared" si="0"/>
        <v>-</v>
      </c>
      <c r="L61" s="251"/>
    </row>
    <row r="62" spans="1:12" s="3" customFormat="1" ht="26.25" customHeight="1" x14ac:dyDescent="0.4">
      <c r="A62" s="263" t="s">
        <v>93</v>
      </c>
      <c r="B62" s="264">
        <v>1</v>
      </c>
      <c r="C62" s="781"/>
      <c r="D62" s="784"/>
      <c r="E62" s="323">
        <v>3</v>
      </c>
      <c r="F62" s="324"/>
      <c r="G62" s="388" t="str">
        <f>IF(ISBLANK(F62),"-",(F62/$D$50*$D$47*$B$68)*($B$57/$D$60))</f>
        <v>-</v>
      </c>
      <c r="H62" s="406" t="str">
        <f t="shared" si="0"/>
        <v>-</v>
      </c>
      <c r="L62" s="251"/>
    </row>
    <row r="63" spans="1:12" ht="27" customHeight="1" x14ac:dyDescent="0.4">
      <c r="A63" s="263" t="s">
        <v>94</v>
      </c>
      <c r="B63" s="264">
        <v>1</v>
      </c>
      <c r="C63" s="782"/>
      <c r="D63" s="785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95</v>
      </c>
      <c r="B64" s="264">
        <v>1</v>
      </c>
      <c r="C64" s="780" t="s">
        <v>96</v>
      </c>
      <c r="D64" s="783">
        <f>'Tenofovir disoproxil fumarate'!D64:D67</f>
        <v>1898.11</v>
      </c>
      <c r="E64" s="321">
        <v>1</v>
      </c>
      <c r="F64" s="322">
        <v>75036791</v>
      </c>
      <c r="G64" s="387">
        <f>IF(ISBLANK(F64),"-",(F64/$D$50*$D$47*$B$68)*($B$57/$D$64))</f>
        <v>303.53172396076837</v>
      </c>
      <c r="H64" s="405">
        <f t="shared" si="0"/>
        <v>101.17724132025612</v>
      </c>
    </row>
    <row r="65" spans="1:8" ht="26.25" customHeight="1" x14ac:dyDescent="0.4">
      <c r="A65" s="263" t="s">
        <v>97</v>
      </c>
      <c r="B65" s="264">
        <v>1</v>
      </c>
      <c r="C65" s="781"/>
      <c r="D65" s="784"/>
      <c r="E65" s="323">
        <v>2</v>
      </c>
      <c r="F65" s="276">
        <v>74908132</v>
      </c>
      <c r="G65" s="388">
        <f>IF(ISBLANK(F65),"-",(F65/$D$50*$D$47*$B$68)*($B$57/$D$64))</f>
        <v>303.01128475284611</v>
      </c>
      <c r="H65" s="406">
        <f t="shared" si="0"/>
        <v>101.00376158428203</v>
      </c>
    </row>
    <row r="66" spans="1:8" ht="26.25" customHeight="1" x14ac:dyDescent="0.4">
      <c r="A66" s="263" t="s">
        <v>98</v>
      </c>
      <c r="B66" s="264">
        <v>1</v>
      </c>
      <c r="C66" s="781"/>
      <c r="D66" s="784"/>
      <c r="E66" s="323">
        <v>3</v>
      </c>
      <c r="F66" s="276">
        <v>75183022</v>
      </c>
      <c r="G66" s="388">
        <f>IF(ISBLANK(F66),"-",(F66/$D$50*$D$47*$B$68)*($B$57/$D$64))</f>
        <v>304.12324375972275</v>
      </c>
      <c r="H66" s="406">
        <f t="shared" si="0"/>
        <v>101.37441458657426</v>
      </c>
    </row>
    <row r="67" spans="1:8" ht="27" customHeight="1" thickBot="1" x14ac:dyDescent="0.45">
      <c r="A67" s="263" t="s">
        <v>99</v>
      </c>
      <c r="B67" s="264">
        <v>1</v>
      </c>
      <c r="C67" s="782"/>
      <c r="D67" s="785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100</v>
      </c>
      <c r="B68" s="327">
        <f>(B67/B66)*(B65/B64)*(B63/B62)*(B61/B60)*B59</f>
        <v>2500</v>
      </c>
      <c r="C68" s="780" t="s">
        <v>101</v>
      </c>
      <c r="D68" s="783">
        <f>'Tenofovir disoproxil fumarate'!D68:D71</f>
        <v>1905.57</v>
      </c>
      <c r="E68" s="321">
        <v>1</v>
      </c>
      <c r="F68" s="322">
        <v>73538965</v>
      </c>
      <c r="G68" s="387">
        <f>IF(ISBLANK(F68),"-",(F68/$D$50*$D$47*$B$68)*($B$57/$D$68))</f>
        <v>296.30830161764203</v>
      </c>
      <c r="H68" s="406">
        <f t="shared" si="0"/>
        <v>98.769433872547339</v>
      </c>
    </row>
    <row r="69" spans="1:8" ht="27" customHeight="1" x14ac:dyDescent="0.4">
      <c r="A69" s="311" t="s">
        <v>102</v>
      </c>
      <c r="B69" s="328">
        <f>(D47*B68)/B56*B57</f>
        <v>1912.6375</v>
      </c>
      <c r="C69" s="781"/>
      <c r="D69" s="784"/>
      <c r="E69" s="323">
        <v>2</v>
      </c>
      <c r="F69" s="276">
        <v>73046905</v>
      </c>
      <c r="G69" s="388">
        <f>IF(ISBLANK(F69),"-",(F69/$D$50*$D$47*$B$68)*($B$57/$D$68))</f>
        <v>294.32565931510243</v>
      </c>
      <c r="H69" s="406">
        <f t="shared" si="0"/>
        <v>98.108553105034147</v>
      </c>
    </row>
    <row r="70" spans="1:8" ht="26.25" customHeight="1" x14ac:dyDescent="0.4">
      <c r="A70" s="793" t="s">
        <v>75</v>
      </c>
      <c r="B70" s="794"/>
      <c r="C70" s="781"/>
      <c r="D70" s="784"/>
      <c r="E70" s="323">
        <v>3</v>
      </c>
      <c r="F70" s="276">
        <v>72256126</v>
      </c>
      <c r="G70" s="388">
        <f>IF(ISBLANK(F70),"-",(F70/$D$50*$D$47*$B$68)*($B$57/$D$68))</f>
        <v>291.13939768570776</v>
      </c>
      <c r="H70" s="406">
        <f t="shared" si="0"/>
        <v>97.046465895235926</v>
      </c>
    </row>
    <row r="71" spans="1:8" ht="27" customHeight="1" x14ac:dyDescent="0.4">
      <c r="A71" s="795"/>
      <c r="B71" s="796"/>
      <c r="C71" s="792"/>
      <c r="D71" s="785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68</v>
      </c>
      <c r="G72" s="393">
        <f>AVERAGE(G60:G71)</f>
        <v>298.73993518196488</v>
      </c>
      <c r="H72" s="408">
        <f>AVERAGE(H60:H71)</f>
        <v>99.579978393988299</v>
      </c>
    </row>
    <row r="73" spans="1:8" ht="26.25" customHeight="1" x14ac:dyDescent="0.4">
      <c r="C73" s="329"/>
      <c r="D73" s="329"/>
      <c r="E73" s="329"/>
      <c r="F73" s="332" t="s">
        <v>81</v>
      </c>
      <c r="G73" s="392">
        <f>STDEV(G60:G71)/G72</f>
        <v>1.8538183474715447E-2</v>
      </c>
      <c r="H73" s="392">
        <f>STDEV(H60:H71)/H72</f>
        <v>1.8538183474715423E-2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6</v>
      </c>
      <c r="H74" s="335">
        <f>COUNT(H60:H71)</f>
        <v>6</v>
      </c>
    </row>
    <row r="76" spans="1:8" ht="26.25" customHeight="1" x14ac:dyDescent="0.4">
      <c r="A76" s="247" t="s">
        <v>103</v>
      </c>
      <c r="B76" s="336" t="s">
        <v>104</v>
      </c>
      <c r="C76" s="788" t="str">
        <f>B26</f>
        <v>Lamivudine</v>
      </c>
      <c r="D76" s="788"/>
      <c r="E76" s="337" t="s">
        <v>105</v>
      </c>
      <c r="F76" s="337"/>
      <c r="G76" s="338">
        <f>H72</f>
        <v>99.579978393988299</v>
      </c>
      <c r="H76" s="339"/>
    </row>
    <row r="77" spans="1:8" ht="18.75" x14ac:dyDescent="0.3">
      <c r="A77" s="246" t="s">
        <v>106</v>
      </c>
      <c r="B77" s="246" t="s">
        <v>107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774" t="str">
        <f>B26</f>
        <v>Lamivudine</v>
      </c>
      <c r="C79" s="774"/>
    </row>
    <row r="80" spans="1:8" ht="26.25" customHeight="1" x14ac:dyDescent="0.4">
      <c r="A80" s="248" t="s">
        <v>45</v>
      </c>
      <c r="B80" s="774" t="s">
        <v>143</v>
      </c>
      <c r="C80" s="774"/>
    </row>
    <row r="81" spans="1:12" ht="27" customHeight="1" x14ac:dyDescent="0.4">
      <c r="A81" s="248" t="s">
        <v>6</v>
      </c>
      <c r="B81" s="340">
        <v>100</v>
      </c>
    </row>
    <row r="82" spans="1:12" s="3" customFormat="1" ht="27" customHeight="1" x14ac:dyDescent="0.4">
      <c r="A82" s="248" t="s">
        <v>46</v>
      </c>
      <c r="B82" s="250">
        <v>0</v>
      </c>
      <c r="C82" s="765" t="s">
        <v>47</v>
      </c>
      <c r="D82" s="766"/>
      <c r="E82" s="766"/>
      <c r="F82" s="766"/>
      <c r="G82" s="767"/>
      <c r="I82" s="251"/>
      <c r="J82" s="251"/>
      <c r="K82" s="251"/>
      <c r="L82" s="251"/>
    </row>
    <row r="83" spans="1:12" s="3" customFormat="1" ht="19.5" customHeight="1" x14ac:dyDescent="0.3">
      <c r="A83" s="248" t="s">
        <v>48</v>
      </c>
      <c r="B83" s="252">
        <f>B81-B82</f>
        <v>100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49</v>
      </c>
      <c r="B84" s="255">
        <v>1</v>
      </c>
      <c r="C84" s="768" t="s">
        <v>108</v>
      </c>
      <c r="D84" s="769"/>
      <c r="E84" s="769"/>
      <c r="F84" s="769"/>
      <c r="G84" s="769"/>
      <c r="H84" s="770"/>
      <c r="I84" s="251"/>
      <c r="J84" s="251"/>
      <c r="K84" s="251"/>
      <c r="L84" s="251"/>
    </row>
    <row r="85" spans="1:12" s="3" customFormat="1" ht="27" customHeight="1" x14ac:dyDescent="0.4">
      <c r="A85" s="248" t="s">
        <v>51</v>
      </c>
      <c r="B85" s="255">
        <v>1</v>
      </c>
      <c r="C85" s="768" t="s">
        <v>109</v>
      </c>
      <c r="D85" s="769"/>
      <c r="E85" s="769"/>
      <c r="F85" s="769"/>
      <c r="G85" s="769"/>
      <c r="H85" s="770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53</v>
      </c>
      <c r="B87" s="260">
        <f>B84/B85</f>
        <v>1</v>
      </c>
      <c r="C87" s="238" t="s">
        <v>54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55</v>
      </c>
      <c r="B89" s="262">
        <v>50</v>
      </c>
      <c r="D89" s="341" t="s">
        <v>56</v>
      </c>
      <c r="E89" s="342"/>
      <c r="F89" s="771" t="s">
        <v>57</v>
      </c>
      <c r="G89" s="773"/>
    </row>
    <row r="90" spans="1:12" ht="27" customHeight="1" x14ac:dyDescent="0.4">
      <c r="A90" s="263" t="s">
        <v>58</v>
      </c>
      <c r="B90" s="264">
        <v>1</v>
      </c>
      <c r="C90" s="343" t="s">
        <v>59</v>
      </c>
      <c r="D90" s="266" t="s">
        <v>60</v>
      </c>
      <c r="E90" s="267" t="s">
        <v>61</v>
      </c>
      <c r="F90" s="266" t="s">
        <v>60</v>
      </c>
      <c r="G90" s="344" t="s">
        <v>61</v>
      </c>
      <c r="I90" s="269" t="s">
        <v>62</v>
      </c>
    </row>
    <row r="91" spans="1:12" ht="26.25" customHeight="1" x14ac:dyDescent="0.4">
      <c r="A91" s="263" t="s">
        <v>63</v>
      </c>
      <c r="B91" s="264">
        <v>1</v>
      </c>
      <c r="C91" s="345">
        <v>1</v>
      </c>
      <c r="D91" s="271">
        <v>102168061</v>
      </c>
      <c r="E91" s="272">
        <f>IF(ISBLANK(D91),"-",$D$101/$D$98*D91)</f>
        <v>105910222.18382861</v>
      </c>
      <c r="F91" s="271">
        <v>109254775</v>
      </c>
      <c r="G91" s="273">
        <f>IF(ISBLANK(F91),"-",$D$101/$F$98*F91)</f>
        <v>105187524.06931964</v>
      </c>
      <c r="I91" s="274"/>
    </row>
    <row r="92" spans="1:12" ht="26.25" customHeight="1" x14ac:dyDescent="0.4">
      <c r="A92" s="263" t="s">
        <v>64</v>
      </c>
      <c r="B92" s="264">
        <v>1</v>
      </c>
      <c r="C92" s="330">
        <v>2</v>
      </c>
      <c r="D92" s="276">
        <v>102347586</v>
      </c>
      <c r="E92" s="277">
        <f>IF(ISBLANK(D92),"-",$D$101/$D$98*D92)</f>
        <v>106096322.73669662</v>
      </c>
      <c r="F92" s="276">
        <v>108877051</v>
      </c>
      <c r="G92" s="278">
        <f>IF(ISBLANK(F92),"-",$D$101/$F$98*F92)</f>
        <v>104823861.68164313</v>
      </c>
      <c r="I92" s="775">
        <f>ABS((F96/D96*D95)-F95)/D95</f>
        <v>7.3121350706752096E-3</v>
      </c>
    </row>
    <row r="93" spans="1:12" ht="26.25" customHeight="1" x14ac:dyDescent="0.4">
      <c r="A93" s="263" t="s">
        <v>65</v>
      </c>
      <c r="B93" s="264">
        <v>1</v>
      </c>
      <c r="C93" s="330">
        <v>3</v>
      </c>
      <c r="D93" s="276">
        <v>101834853</v>
      </c>
      <c r="E93" s="277">
        <f>IF(ISBLANK(D93),"-",$D$101/$D$98*D93)</f>
        <v>105564809.60608155</v>
      </c>
      <c r="F93" s="276">
        <v>109478878</v>
      </c>
      <c r="G93" s="278">
        <f>IF(ISBLANK(F93),"-",$D$101/$F$98*F93)</f>
        <v>105403284.33889602</v>
      </c>
      <c r="I93" s="775"/>
    </row>
    <row r="94" spans="1:12" ht="27" customHeight="1" x14ac:dyDescent="0.4">
      <c r="A94" s="263" t="s">
        <v>66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67</v>
      </c>
      <c r="B95" s="264">
        <v>1</v>
      </c>
      <c r="C95" s="348" t="s">
        <v>68</v>
      </c>
      <c r="D95" s="349">
        <f>AVERAGE(D91:D94)</f>
        <v>102116833.33333333</v>
      </c>
      <c r="E95" s="287">
        <f>AVERAGE(E91:E94)</f>
        <v>105857118.1755356</v>
      </c>
      <c r="F95" s="350">
        <f>AVERAGE(F91:F94)</f>
        <v>109203568</v>
      </c>
      <c r="G95" s="351">
        <f>AVERAGE(G91:G94)</f>
        <v>105138223.36328626</v>
      </c>
    </row>
    <row r="96" spans="1:12" ht="26.25" customHeight="1" x14ac:dyDescent="0.4">
      <c r="A96" s="263" t="s">
        <v>69</v>
      </c>
      <c r="B96" s="249">
        <v>1</v>
      </c>
      <c r="C96" s="352" t="s">
        <v>110</v>
      </c>
      <c r="D96" s="353">
        <v>14.47</v>
      </c>
      <c r="E96" s="279"/>
      <c r="F96" s="291">
        <v>15.58</v>
      </c>
    </row>
    <row r="97" spans="1:10" ht="26.25" customHeight="1" x14ac:dyDescent="0.4">
      <c r="A97" s="263" t="s">
        <v>71</v>
      </c>
      <c r="B97" s="249">
        <v>1</v>
      </c>
      <c r="C97" s="354" t="s">
        <v>111</v>
      </c>
      <c r="D97" s="355">
        <f>D96*$B$87</f>
        <v>14.47</v>
      </c>
      <c r="E97" s="294"/>
      <c r="F97" s="293">
        <f>F96*$B$87</f>
        <v>15.58</v>
      </c>
    </row>
    <row r="98" spans="1:10" ht="19.5" customHeight="1" x14ac:dyDescent="0.3">
      <c r="A98" s="263" t="s">
        <v>73</v>
      </c>
      <c r="B98" s="356">
        <f>(B97/B96)*(B95/B94)*(B93/B92)*(B91/B90)*B89</f>
        <v>50</v>
      </c>
      <c r="C98" s="354" t="s">
        <v>112</v>
      </c>
      <c r="D98" s="357">
        <f>D97*$B$83/100</f>
        <v>14.47</v>
      </c>
      <c r="E98" s="297"/>
      <c r="F98" s="296">
        <f>F97*$B$83/100</f>
        <v>15.58</v>
      </c>
    </row>
    <row r="99" spans="1:10" ht="19.5" customHeight="1" x14ac:dyDescent="0.3">
      <c r="A99" s="776" t="s">
        <v>75</v>
      </c>
      <c r="B99" s="790"/>
      <c r="C99" s="354" t="s">
        <v>113</v>
      </c>
      <c r="D99" s="358">
        <f>D98/$B$98</f>
        <v>0.28939999999999999</v>
      </c>
      <c r="E99" s="297"/>
      <c r="F99" s="300">
        <f>F98/$B$98</f>
        <v>0.31159999999999999</v>
      </c>
      <c r="G99" s="359"/>
      <c r="H99" s="289"/>
    </row>
    <row r="100" spans="1:10" ht="19.5" customHeight="1" x14ac:dyDescent="0.3">
      <c r="A100" s="778"/>
      <c r="B100" s="791"/>
      <c r="C100" s="354" t="s">
        <v>77</v>
      </c>
      <c r="D100" s="360">
        <f>$B$56/$B$116</f>
        <v>0.3</v>
      </c>
      <c r="F100" s="305"/>
      <c r="G100" s="361"/>
      <c r="H100" s="289"/>
    </row>
    <row r="101" spans="1:10" ht="18.75" x14ac:dyDescent="0.3">
      <c r="C101" s="354" t="s">
        <v>78</v>
      </c>
      <c r="D101" s="355">
        <f>D100*$B$98</f>
        <v>15</v>
      </c>
      <c r="F101" s="305"/>
      <c r="G101" s="359"/>
      <c r="H101" s="289"/>
    </row>
    <row r="102" spans="1:10" ht="19.5" customHeight="1" x14ac:dyDescent="0.3">
      <c r="C102" s="362" t="s">
        <v>79</v>
      </c>
      <c r="D102" s="363">
        <f>D101/B34</f>
        <v>15</v>
      </c>
      <c r="F102" s="309"/>
      <c r="G102" s="359"/>
      <c r="H102" s="289"/>
      <c r="J102" s="364"/>
    </row>
    <row r="103" spans="1:10" ht="18.75" x14ac:dyDescent="0.3">
      <c r="C103" s="365" t="s">
        <v>114</v>
      </c>
      <c r="D103" s="366">
        <f>AVERAGE(E91:E94,G91:G94)</f>
        <v>105497670.76941092</v>
      </c>
      <c r="F103" s="309"/>
      <c r="G103" s="367"/>
      <c r="H103" s="289"/>
      <c r="J103" s="368"/>
    </row>
    <row r="104" spans="1:10" ht="18.75" x14ac:dyDescent="0.3">
      <c r="C104" s="332" t="s">
        <v>81</v>
      </c>
      <c r="D104" s="369">
        <f>STDEV(E91:E94,G91:G94)/D103</f>
        <v>4.430216889919048E-3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115</v>
      </c>
      <c r="B107" s="262">
        <v>1000</v>
      </c>
      <c r="C107" s="409" t="s">
        <v>116</v>
      </c>
      <c r="D107" s="409" t="s">
        <v>60</v>
      </c>
      <c r="E107" s="409" t="s">
        <v>117</v>
      </c>
      <c r="F107" s="371" t="s">
        <v>118</v>
      </c>
    </row>
    <row r="108" spans="1:10" ht="26.25" customHeight="1" x14ac:dyDescent="0.4">
      <c r="A108" s="263" t="s">
        <v>119</v>
      </c>
      <c r="B108" s="264">
        <v>1</v>
      </c>
      <c r="C108" s="414">
        <v>1</v>
      </c>
      <c r="D108" s="415">
        <v>102362832</v>
      </c>
      <c r="E108" s="389">
        <f t="shared" ref="E108:E113" si="1">IF(ISBLANK(D108),"-",D108/$D$103*$D$100*$B$116)</f>
        <v>291.08556971955477</v>
      </c>
      <c r="F108" s="416">
        <f t="shared" ref="F108:F113" si="2">IF(ISBLANK(D108), "-", (E108/$B$56)*100)</f>
        <v>97.028523239851594</v>
      </c>
    </row>
    <row r="109" spans="1:10" ht="26.25" customHeight="1" x14ac:dyDescent="0.4">
      <c r="A109" s="263" t="s">
        <v>92</v>
      </c>
      <c r="B109" s="264">
        <v>1</v>
      </c>
      <c r="C109" s="410">
        <v>2</v>
      </c>
      <c r="D109" s="412">
        <v>105113967</v>
      </c>
      <c r="E109" s="390">
        <f t="shared" si="1"/>
        <v>298.90887514403158</v>
      </c>
      <c r="F109" s="417">
        <f t="shared" si="2"/>
        <v>99.636291714677199</v>
      </c>
    </row>
    <row r="110" spans="1:10" ht="26.25" customHeight="1" x14ac:dyDescent="0.4">
      <c r="A110" s="263" t="s">
        <v>93</v>
      </c>
      <c r="B110" s="264">
        <v>1</v>
      </c>
      <c r="C110" s="410">
        <v>3</v>
      </c>
      <c r="D110" s="412">
        <v>105140920</v>
      </c>
      <c r="E110" s="390">
        <f t="shared" si="1"/>
        <v>298.98552043810321</v>
      </c>
      <c r="F110" s="417">
        <f t="shared" si="2"/>
        <v>99.661840146034393</v>
      </c>
    </row>
    <row r="111" spans="1:10" ht="26.25" customHeight="1" x14ac:dyDescent="0.4">
      <c r="A111" s="263" t="s">
        <v>94</v>
      </c>
      <c r="B111" s="264">
        <v>1</v>
      </c>
      <c r="C111" s="410">
        <v>4</v>
      </c>
      <c r="D111" s="412">
        <v>103149141</v>
      </c>
      <c r="E111" s="390">
        <f t="shared" si="1"/>
        <v>293.32156884901042</v>
      </c>
      <c r="F111" s="417">
        <f t="shared" si="2"/>
        <v>97.773856283003468</v>
      </c>
    </row>
    <row r="112" spans="1:10" ht="26.25" customHeight="1" x14ac:dyDescent="0.4">
      <c r="A112" s="263" t="s">
        <v>95</v>
      </c>
      <c r="B112" s="264">
        <v>1</v>
      </c>
      <c r="C112" s="410">
        <v>5</v>
      </c>
      <c r="D112" s="412">
        <v>103459039</v>
      </c>
      <c r="E112" s="390">
        <f t="shared" si="1"/>
        <v>294.20281484545711</v>
      </c>
      <c r="F112" s="417">
        <f t="shared" si="2"/>
        <v>98.067604948485709</v>
      </c>
    </row>
    <row r="113" spans="1:10" ht="27" customHeight="1" x14ac:dyDescent="0.4">
      <c r="A113" s="263" t="s">
        <v>97</v>
      </c>
      <c r="B113" s="264">
        <v>1</v>
      </c>
      <c r="C113" s="411">
        <v>6</v>
      </c>
      <c r="D113" s="413">
        <v>106202698</v>
      </c>
      <c r="E113" s="391">
        <f t="shared" si="1"/>
        <v>302.00486103279968</v>
      </c>
      <c r="F113" s="418">
        <f t="shared" si="2"/>
        <v>100.66828701093323</v>
      </c>
    </row>
    <row r="114" spans="1:10" ht="27" customHeight="1" x14ac:dyDescent="0.4">
      <c r="A114" s="263" t="s">
        <v>98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99</v>
      </c>
      <c r="B115" s="264">
        <v>1</v>
      </c>
      <c r="C115" s="372"/>
      <c r="D115" s="396" t="s">
        <v>68</v>
      </c>
      <c r="E115" s="398">
        <f>AVERAGE(E108:E113)</f>
        <v>296.4182016714928</v>
      </c>
      <c r="F115" s="420">
        <f>AVERAGE(F108:F113)</f>
        <v>98.806067223830937</v>
      </c>
    </row>
    <row r="116" spans="1:10" ht="27" customHeight="1" x14ac:dyDescent="0.4">
      <c r="A116" s="263" t="s">
        <v>100</v>
      </c>
      <c r="B116" s="295">
        <f>(B115/B114)*(B113/B112)*(B111/B110)*(B109/B108)*B107</f>
        <v>1000</v>
      </c>
      <c r="C116" s="373"/>
      <c r="D116" s="397" t="s">
        <v>81</v>
      </c>
      <c r="E116" s="395">
        <f>STDEV(E108:E113)/E115</f>
        <v>1.4067547783306491E-2</v>
      </c>
      <c r="F116" s="374">
        <f>STDEV(F108:F113)/F115</f>
        <v>1.4067547783306477E-2</v>
      </c>
      <c r="I116" s="237"/>
    </row>
    <row r="117" spans="1:10" ht="27" customHeight="1" x14ac:dyDescent="0.4">
      <c r="A117" s="776" t="s">
        <v>75</v>
      </c>
      <c r="B117" s="777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778"/>
      <c r="B118" s="779"/>
      <c r="C118" s="237"/>
      <c r="D118" s="399"/>
      <c r="E118" s="756" t="s">
        <v>120</v>
      </c>
      <c r="F118" s="757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121</v>
      </c>
      <c r="E119" s="402">
        <f>MIN(E108:E113)</f>
        <v>291.08556971955477</v>
      </c>
      <c r="F119" s="421">
        <f>MIN(F108:F113)</f>
        <v>97.028523239851594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122</v>
      </c>
      <c r="E120" s="403">
        <f>MAX(E108:E113)</f>
        <v>302.00486103279968</v>
      </c>
      <c r="F120" s="422">
        <f>MAX(F108:F113)</f>
        <v>100.66828701093323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103</v>
      </c>
      <c r="B124" s="336" t="s">
        <v>123</v>
      </c>
      <c r="C124" s="788" t="str">
        <f>B26</f>
        <v>Lamivudine</v>
      </c>
      <c r="D124" s="788"/>
      <c r="E124" s="337" t="s">
        <v>124</v>
      </c>
      <c r="F124" s="337"/>
      <c r="G124" s="423">
        <f>F115</f>
        <v>98.806067223830937</v>
      </c>
      <c r="H124" s="237"/>
      <c r="I124" s="237"/>
    </row>
    <row r="125" spans="1:10" ht="45.75" customHeight="1" x14ac:dyDescent="0.65">
      <c r="A125" s="247"/>
      <c r="B125" s="336" t="s">
        <v>125</v>
      </c>
      <c r="C125" s="248" t="s">
        <v>126</v>
      </c>
      <c r="D125" s="423">
        <f>MIN(F108:F113)</f>
        <v>97.028523239851594</v>
      </c>
      <c r="E125" s="348" t="s">
        <v>127</v>
      </c>
      <c r="F125" s="423">
        <f>MAX(F108:F113)</f>
        <v>100.66828701093323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89" t="s">
        <v>23</v>
      </c>
      <c r="C127" s="789"/>
      <c r="E127" s="343" t="s">
        <v>24</v>
      </c>
      <c r="F127" s="378"/>
      <c r="G127" s="789" t="s">
        <v>25</v>
      </c>
      <c r="H127" s="789"/>
    </row>
    <row r="128" spans="1:10" ht="69.95" customHeight="1" x14ac:dyDescent="0.3">
      <c r="A128" s="379" t="s">
        <v>26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27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3" zoomScale="50" zoomScaleNormal="40" zoomScalePageLayoutView="50" workbookViewId="0">
      <selection activeCell="B81" sqref="B8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86" t="s">
        <v>42</v>
      </c>
      <c r="B1" s="786"/>
      <c r="C1" s="786"/>
      <c r="D1" s="786"/>
      <c r="E1" s="786"/>
      <c r="F1" s="786"/>
      <c r="G1" s="786"/>
      <c r="H1" s="786"/>
      <c r="I1" s="786"/>
    </row>
    <row r="2" spans="1:9" ht="18.75" customHeight="1" x14ac:dyDescent="0.25">
      <c r="A2" s="786"/>
      <c r="B2" s="786"/>
      <c r="C2" s="786"/>
      <c r="D2" s="786"/>
      <c r="E2" s="786"/>
      <c r="F2" s="786"/>
      <c r="G2" s="786"/>
      <c r="H2" s="786"/>
      <c r="I2" s="786"/>
    </row>
    <row r="3" spans="1:9" ht="18.75" customHeight="1" x14ac:dyDescent="0.25">
      <c r="A3" s="786"/>
      <c r="B3" s="786"/>
      <c r="C3" s="786"/>
      <c r="D3" s="786"/>
      <c r="E3" s="786"/>
      <c r="F3" s="786"/>
      <c r="G3" s="786"/>
      <c r="H3" s="786"/>
      <c r="I3" s="786"/>
    </row>
    <row r="4" spans="1:9" ht="18.75" customHeight="1" x14ac:dyDescent="0.25">
      <c r="A4" s="786"/>
      <c r="B4" s="786"/>
      <c r="C4" s="786"/>
      <c r="D4" s="786"/>
      <c r="E4" s="786"/>
      <c r="F4" s="786"/>
      <c r="G4" s="786"/>
      <c r="H4" s="786"/>
      <c r="I4" s="786"/>
    </row>
    <row r="5" spans="1:9" ht="18.75" customHeight="1" x14ac:dyDescent="0.25">
      <c r="A5" s="786"/>
      <c r="B5" s="786"/>
      <c r="C5" s="786"/>
      <c r="D5" s="786"/>
      <c r="E5" s="786"/>
      <c r="F5" s="786"/>
      <c r="G5" s="786"/>
      <c r="H5" s="786"/>
      <c r="I5" s="786"/>
    </row>
    <row r="6" spans="1:9" ht="18.75" customHeight="1" x14ac:dyDescent="0.25">
      <c r="A6" s="786"/>
      <c r="B6" s="786"/>
      <c r="C6" s="786"/>
      <c r="D6" s="786"/>
      <c r="E6" s="786"/>
      <c r="F6" s="786"/>
      <c r="G6" s="786"/>
      <c r="H6" s="786"/>
      <c r="I6" s="786"/>
    </row>
    <row r="7" spans="1:9" ht="18.75" customHeight="1" x14ac:dyDescent="0.25">
      <c r="A7" s="786"/>
      <c r="B7" s="786"/>
      <c r="C7" s="786"/>
      <c r="D7" s="786"/>
      <c r="E7" s="786"/>
      <c r="F7" s="786"/>
      <c r="G7" s="786"/>
      <c r="H7" s="786"/>
      <c r="I7" s="786"/>
    </row>
    <row r="8" spans="1:9" x14ac:dyDescent="0.25">
      <c r="A8" s="787" t="s">
        <v>43</v>
      </c>
      <c r="B8" s="787"/>
      <c r="C8" s="787"/>
      <c r="D8" s="787"/>
      <c r="E8" s="787"/>
      <c r="F8" s="787"/>
      <c r="G8" s="787"/>
      <c r="H8" s="787"/>
      <c r="I8" s="787"/>
    </row>
    <row r="9" spans="1:9" x14ac:dyDescent="0.25">
      <c r="A9" s="787"/>
      <c r="B9" s="787"/>
      <c r="C9" s="787"/>
      <c r="D9" s="787"/>
      <c r="E9" s="787"/>
      <c r="F9" s="787"/>
      <c r="G9" s="787"/>
      <c r="H9" s="787"/>
      <c r="I9" s="787"/>
    </row>
    <row r="10" spans="1:9" x14ac:dyDescent="0.25">
      <c r="A10" s="787"/>
      <c r="B10" s="787"/>
      <c r="C10" s="787"/>
      <c r="D10" s="787"/>
      <c r="E10" s="787"/>
      <c r="F10" s="787"/>
      <c r="G10" s="787"/>
      <c r="H10" s="787"/>
      <c r="I10" s="787"/>
    </row>
    <row r="11" spans="1:9" x14ac:dyDescent="0.25">
      <c r="A11" s="787"/>
      <c r="B11" s="787"/>
      <c r="C11" s="787"/>
      <c r="D11" s="787"/>
      <c r="E11" s="787"/>
      <c r="F11" s="787"/>
      <c r="G11" s="787"/>
      <c r="H11" s="787"/>
      <c r="I11" s="787"/>
    </row>
    <row r="12" spans="1:9" x14ac:dyDescent="0.25">
      <c r="A12" s="787"/>
      <c r="B12" s="787"/>
      <c r="C12" s="787"/>
      <c r="D12" s="787"/>
      <c r="E12" s="787"/>
      <c r="F12" s="787"/>
      <c r="G12" s="787"/>
      <c r="H12" s="787"/>
      <c r="I12" s="787"/>
    </row>
    <row r="13" spans="1:9" x14ac:dyDescent="0.25">
      <c r="A13" s="787"/>
      <c r="B13" s="787"/>
      <c r="C13" s="787"/>
      <c r="D13" s="787"/>
      <c r="E13" s="787"/>
      <c r="F13" s="787"/>
      <c r="G13" s="787"/>
      <c r="H13" s="787"/>
      <c r="I13" s="787"/>
    </row>
    <row r="14" spans="1:9" x14ac:dyDescent="0.25">
      <c r="A14" s="787"/>
      <c r="B14" s="787"/>
      <c r="C14" s="787"/>
      <c r="D14" s="787"/>
      <c r="E14" s="787"/>
      <c r="F14" s="787"/>
      <c r="G14" s="787"/>
      <c r="H14" s="787"/>
      <c r="I14" s="787"/>
    </row>
    <row r="15" spans="1:9" ht="19.5" customHeight="1" x14ac:dyDescent="0.3">
      <c r="A15" s="424"/>
    </row>
    <row r="16" spans="1:9" ht="19.5" customHeight="1" x14ac:dyDescent="0.3">
      <c r="A16" s="759" t="s">
        <v>28</v>
      </c>
      <c r="B16" s="760"/>
      <c r="C16" s="760"/>
      <c r="D16" s="760"/>
      <c r="E16" s="760"/>
      <c r="F16" s="760"/>
      <c r="G16" s="760"/>
      <c r="H16" s="761"/>
    </row>
    <row r="17" spans="1:14" ht="20.25" customHeight="1" x14ac:dyDescent="0.25">
      <c r="A17" s="762" t="s">
        <v>44</v>
      </c>
      <c r="B17" s="762"/>
      <c r="C17" s="762"/>
      <c r="D17" s="762"/>
      <c r="E17" s="762"/>
      <c r="F17" s="762"/>
      <c r="G17" s="762"/>
      <c r="H17" s="762"/>
    </row>
    <row r="18" spans="1:14" ht="26.25" customHeight="1" x14ac:dyDescent="0.4">
      <c r="A18" s="426" t="s">
        <v>30</v>
      </c>
      <c r="B18" s="758" t="s">
        <v>5</v>
      </c>
      <c r="C18" s="758"/>
      <c r="D18" s="572"/>
      <c r="E18" s="427"/>
      <c r="F18" s="428"/>
      <c r="G18" s="428"/>
      <c r="H18" s="428"/>
    </row>
    <row r="19" spans="1:14" ht="26.25" customHeight="1" x14ac:dyDescent="0.4">
      <c r="A19" s="426" t="s">
        <v>31</v>
      </c>
      <c r="B19" s="429" t="s">
        <v>7</v>
      </c>
      <c r="C19" s="581">
        <v>1</v>
      </c>
      <c r="D19" s="428"/>
      <c r="E19" s="428"/>
      <c r="F19" s="428"/>
      <c r="G19" s="428"/>
      <c r="H19" s="428"/>
    </row>
    <row r="20" spans="1:14" ht="26.25" customHeight="1" x14ac:dyDescent="0.4">
      <c r="A20" s="426" t="s">
        <v>32</v>
      </c>
      <c r="B20" s="763" t="s">
        <v>135</v>
      </c>
      <c r="C20" s="763"/>
      <c r="D20" s="428"/>
      <c r="E20" s="428"/>
      <c r="F20" s="428"/>
      <c r="G20" s="428"/>
      <c r="H20" s="428"/>
    </row>
    <row r="21" spans="1:14" ht="26.25" customHeight="1" x14ac:dyDescent="0.4">
      <c r="A21" s="426" t="s">
        <v>33</v>
      </c>
      <c r="B21" s="763" t="s">
        <v>11</v>
      </c>
      <c r="C21" s="763"/>
      <c r="D21" s="763"/>
      <c r="E21" s="763"/>
      <c r="F21" s="763"/>
      <c r="G21" s="763"/>
      <c r="H21" s="763"/>
      <c r="I21" s="430"/>
    </row>
    <row r="22" spans="1:14" ht="26.25" customHeight="1" x14ac:dyDescent="0.4">
      <c r="A22" s="426" t="s">
        <v>34</v>
      </c>
      <c r="B22" s="431">
        <v>42634</v>
      </c>
      <c r="C22" s="428"/>
      <c r="D22" s="428"/>
      <c r="E22" s="428"/>
      <c r="F22" s="428"/>
      <c r="G22" s="428"/>
      <c r="H22" s="428"/>
    </row>
    <row r="23" spans="1:14" ht="26.25" customHeight="1" x14ac:dyDescent="0.4">
      <c r="A23" s="426" t="s">
        <v>35</v>
      </c>
      <c r="B23" s="431">
        <v>42688</v>
      </c>
      <c r="C23" s="428"/>
      <c r="D23" s="428"/>
      <c r="E23" s="428"/>
      <c r="F23" s="428"/>
      <c r="G23" s="428"/>
      <c r="H23" s="428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758" t="s">
        <v>132</v>
      </c>
      <c r="C26" s="758"/>
    </row>
    <row r="27" spans="1:14" ht="26.25" customHeight="1" x14ac:dyDescent="0.4">
      <c r="A27" s="435" t="s">
        <v>45</v>
      </c>
      <c r="B27" s="764" t="s">
        <v>133</v>
      </c>
      <c r="C27" s="764"/>
    </row>
    <row r="28" spans="1:14" ht="27" customHeight="1" x14ac:dyDescent="0.4">
      <c r="A28" s="435" t="s">
        <v>6</v>
      </c>
      <c r="B28" s="436">
        <v>99.7</v>
      </c>
    </row>
    <row r="29" spans="1:14" s="3" customFormat="1" ht="27" customHeight="1" x14ac:dyDescent="0.4">
      <c r="A29" s="435" t="s">
        <v>46</v>
      </c>
      <c r="B29" s="437">
        <v>0</v>
      </c>
      <c r="C29" s="765" t="s">
        <v>47</v>
      </c>
      <c r="D29" s="766"/>
      <c r="E29" s="766"/>
      <c r="F29" s="766"/>
      <c r="G29" s="767"/>
      <c r="I29" s="438"/>
      <c r="J29" s="438"/>
      <c r="K29" s="438"/>
      <c r="L29" s="438"/>
    </row>
    <row r="30" spans="1:14" s="3" customFormat="1" ht="19.5" customHeight="1" x14ac:dyDescent="0.3">
      <c r="A30" s="435" t="s">
        <v>48</v>
      </c>
      <c r="B30" s="439">
        <f>B28-B29</f>
        <v>99.7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3" customFormat="1" ht="27" customHeight="1" x14ac:dyDescent="0.4">
      <c r="A31" s="435" t="s">
        <v>49</v>
      </c>
      <c r="B31" s="442">
        <v>1</v>
      </c>
      <c r="C31" s="768" t="s">
        <v>50</v>
      </c>
      <c r="D31" s="769"/>
      <c r="E31" s="769"/>
      <c r="F31" s="769"/>
      <c r="G31" s="769"/>
      <c r="H31" s="770"/>
      <c r="I31" s="438"/>
      <c r="J31" s="438"/>
      <c r="K31" s="438"/>
      <c r="L31" s="438"/>
    </row>
    <row r="32" spans="1:14" s="3" customFormat="1" ht="27" customHeight="1" x14ac:dyDescent="0.4">
      <c r="A32" s="435" t="s">
        <v>51</v>
      </c>
      <c r="B32" s="442">
        <v>1</v>
      </c>
      <c r="C32" s="768" t="s">
        <v>52</v>
      </c>
      <c r="D32" s="769"/>
      <c r="E32" s="769"/>
      <c r="F32" s="769"/>
      <c r="G32" s="769"/>
      <c r="H32" s="770"/>
      <c r="I32" s="438"/>
      <c r="J32" s="438"/>
      <c r="K32" s="438"/>
      <c r="L32" s="443"/>
      <c r="M32" s="443"/>
      <c r="N32" s="444"/>
    </row>
    <row r="33" spans="1:14" s="3" customFormat="1" ht="17.25" customHeight="1" x14ac:dyDescent="0.3">
      <c r="A33" s="435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3" customFormat="1" ht="18.75" x14ac:dyDescent="0.3">
      <c r="A34" s="435" t="s">
        <v>53</v>
      </c>
      <c r="B34" s="447">
        <f>B31/B32</f>
        <v>1</v>
      </c>
      <c r="C34" s="425" t="s">
        <v>54</v>
      </c>
      <c r="D34" s="425"/>
      <c r="E34" s="425"/>
      <c r="F34" s="425"/>
      <c r="G34" s="425"/>
      <c r="I34" s="438"/>
      <c r="J34" s="438"/>
      <c r="K34" s="438"/>
      <c r="L34" s="443"/>
      <c r="M34" s="443"/>
      <c r="N34" s="444"/>
    </row>
    <row r="35" spans="1:14" s="3" customFormat="1" ht="19.5" customHeight="1" x14ac:dyDescent="0.3">
      <c r="A35" s="435"/>
      <c r="B35" s="439"/>
      <c r="G35" s="425"/>
      <c r="I35" s="438"/>
      <c r="J35" s="438"/>
      <c r="K35" s="438"/>
      <c r="L35" s="443"/>
      <c r="M35" s="443"/>
      <c r="N35" s="444"/>
    </row>
    <row r="36" spans="1:14" s="3" customFormat="1" ht="27" customHeight="1" x14ac:dyDescent="0.4">
      <c r="A36" s="448" t="s">
        <v>55</v>
      </c>
      <c r="B36" s="449">
        <v>50</v>
      </c>
      <c r="C36" s="425"/>
      <c r="D36" s="771" t="s">
        <v>56</v>
      </c>
      <c r="E36" s="772"/>
      <c r="F36" s="771" t="s">
        <v>57</v>
      </c>
      <c r="G36" s="773"/>
      <c r="J36" s="438"/>
      <c r="K36" s="438"/>
      <c r="L36" s="443"/>
      <c r="M36" s="443"/>
      <c r="N36" s="444"/>
    </row>
    <row r="37" spans="1:14" s="3" customFormat="1" ht="27" customHeight="1" x14ac:dyDescent="0.4">
      <c r="A37" s="450" t="s">
        <v>58</v>
      </c>
      <c r="B37" s="451">
        <v>10</v>
      </c>
      <c r="C37" s="452" t="s">
        <v>59</v>
      </c>
      <c r="D37" s="453" t="s">
        <v>60</v>
      </c>
      <c r="E37" s="454" t="s">
        <v>61</v>
      </c>
      <c r="F37" s="453" t="s">
        <v>60</v>
      </c>
      <c r="G37" s="455" t="s">
        <v>61</v>
      </c>
      <c r="I37" s="456" t="s">
        <v>62</v>
      </c>
      <c r="J37" s="438"/>
      <c r="K37" s="438"/>
      <c r="L37" s="443"/>
      <c r="M37" s="443"/>
      <c r="N37" s="444"/>
    </row>
    <row r="38" spans="1:14" s="3" customFormat="1" ht="26.25" customHeight="1" x14ac:dyDescent="0.4">
      <c r="A38" s="450" t="s">
        <v>63</v>
      </c>
      <c r="B38" s="451">
        <v>25</v>
      </c>
      <c r="C38" s="457">
        <v>1</v>
      </c>
      <c r="D38" s="458">
        <v>9596888</v>
      </c>
      <c r="E38" s="459">
        <f>IF(ISBLANK(D38),"-",$D$48/$D$45*D38)</f>
        <v>11913075.861247107</v>
      </c>
      <c r="F38" s="458">
        <v>9702462</v>
      </c>
      <c r="G38" s="460">
        <f>IF(ISBLANK(F38),"-",$D$48/$F$45*F38)</f>
        <v>11824613.573405512</v>
      </c>
      <c r="I38" s="461"/>
      <c r="J38" s="438"/>
      <c r="K38" s="438"/>
      <c r="L38" s="443"/>
      <c r="M38" s="443"/>
      <c r="N38" s="444"/>
    </row>
    <row r="39" spans="1:14" s="3" customFormat="1" ht="26.25" customHeight="1" x14ac:dyDescent="0.4">
      <c r="A39" s="450" t="s">
        <v>64</v>
      </c>
      <c r="B39" s="451">
        <v>1</v>
      </c>
      <c r="C39" s="462">
        <v>2</v>
      </c>
      <c r="D39" s="463">
        <v>9609114</v>
      </c>
      <c r="E39" s="464">
        <f>IF(ISBLANK(D39),"-",$D$48/$D$45*D39)</f>
        <v>11928252.57952074</v>
      </c>
      <c r="F39" s="463">
        <v>9724074</v>
      </c>
      <c r="G39" s="465">
        <f>IF(ISBLANK(F39),"-",$D$48/$F$45*F39)</f>
        <v>11850952.614831125</v>
      </c>
      <c r="I39" s="775">
        <f>ABS((F43/D43*D42)-F42)/D42</f>
        <v>7.1263961888593077E-3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65</v>
      </c>
      <c r="B40" s="451">
        <v>1</v>
      </c>
      <c r="C40" s="462">
        <v>3</v>
      </c>
      <c r="D40" s="463">
        <v>9621603</v>
      </c>
      <c r="E40" s="464">
        <f>IF(ISBLANK(D40),"-",$D$48/$D$45*D40)</f>
        <v>11943755.772267297</v>
      </c>
      <c r="F40" s="463">
        <v>9730798</v>
      </c>
      <c r="G40" s="465">
        <f>IF(ISBLANK(F40),"-",$D$48/$F$45*F40)</f>
        <v>11859147.30826745</v>
      </c>
      <c r="I40" s="775"/>
      <c r="L40" s="443"/>
      <c r="M40" s="443"/>
      <c r="N40" s="466"/>
    </row>
    <row r="41" spans="1:14" ht="27" customHeight="1" x14ac:dyDescent="0.4">
      <c r="A41" s="450" t="s">
        <v>66</v>
      </c>
      <c r="B41" s="451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3"/>
      <c r="M41" s="443"/>
      <c r="N41" s="466"/>
    </row>
    <row r="42" spans="1:14" ht="27" customHeight="1" x14ac:dyDescent="0.4">
      <c r="A42" s="450" t="s">
        <v>67</v>
      </c>
      <c r="B42" s="451">
        <v>1</v>
      </c>
      <c r="C42" s="472" t="s">
        <v>68</v>
      </c>
      <c r="D42" s="473">
        <f>AVERAGE(D38:D41)</f>
        <v>9609201.666666666</v>
      </c>
      <c r="E42" s="474">
        <f>AVERAGE(E38:E41)</f>
        <v>11928361.404345049</v>
      </c>
      <c r="F42" s="473">
        <f>AVERAGE(F38:F41)</f>
        <v>9719111.333333334</v>
      </c>
      <c r="G42" s="475">
        <f>AVERAGE(G38:G41)</f>
        <v>11844904.498834698</v>
      </c>
      <c r="H42" s="476"/>
    </row>
    <row r="43" spans="1:14" ht="26.25" customHeight="1" x14ac:dyDescent="0.4">
      <c r="A43" s="450" t="s">
        <v>69</v>
      </c>
      <c r="B43" s="451">
        <v>1</v>
      </c>
      <c r="C43" s="477" t="s">
        <v>70</v>
      </c>
      <c r="D43" s="478">
        <v>24.24</v>
      </c>
      <c r="E43" s="466"/>
      <c r="F43" s="478">
        <v>24.69</v>
      </c>
      <c r="H43" s="476"/>
    </row>
    <row r="44" spans="1:14" ht="26.25" customHeight="1" x14ac:dyDescent="0.4">
      <c r="A44" s="450" t="s">
        <v>71</v>
      </c>
      <c r="B44" s="451">
        <v>1</v>
      </c>
      <c r="C44" s="479" t="s">
        <v>72</v>
      </c>
      <c r="D44" s="480">
        <f>D43*$B$34</f>
        <v>24.24</v>
      </c>
      <c r="E44" s="481"/>
      <c r="F44" s="480">
        <f>F43*$B$34</f>
        <v>24.69</v>
      </c>
      <c r="H44" s="476"/>
    </row>
    <row r="45" spans="1:14" ht="19.5" customHeight="1" x14ac:dyDescent="0.3">
      <c r="A45" s="450" t="s">
        <v>73</v>
      </c>
      <c r="B45" s="482">
        <f>(B44/B43)*(B42/B41)*(B40/B39)*(B38/B37)*B36</f>
        <v>125</v>
      </c>
      <c r="C45" s="479" t="s">
        <v>74</v>
      </c>
      <c r="D45" s="483">
        <f>D44*$B$30/100</f>
        <v>24.167280000000002</v>
      </c>
      <c r="E45" s="484"/>
      <c r="F45" s="483">
        <f>F44*$B$30/100</f>
        <v>24.615930000000002</v>
      </c>
      <c r="H45" s="476"/>
    </row>
    <row r="46" spans="1:14" ht="19.5" customHeight="1" x14ac:dyDescent="0.3">
      <c r="A46" s="776" t="s">
        <v>75</v>
      </c>
      <c r="B46" s="777"/>
      <c r="C46" s="479" t="s">
        <v>76</v>
      </c>
      <c r="D46" s="485">
        <f>D45/$B$45</f>
        <v>0.19333824000000002</v>
      </c>
      <c r="E46" s="486"/>
      <c r="F46" s="487">
        <f>F45/$B$45</f>
        <v>0.19692744000000001</v>
      </c>
      <c r="H46" s="476"/>
    </row>
    <row r="47" spans="1:14" ht="27" customHeight="1" x14ac:dyDescent="0.4">
      <c r="A47" s="778"/>
      <c r="B47" s="779"/>
      <c r="C47" s="488" t="s">
        <v>77</v>
      </c>
      <c r="D47" s="489">
        <v>0.24</v>
      </c>
      <c r="E47" s="490"/>
      <c r="F47" s="486"/>
      <c r="H47" s="476"/>
    </row>
    <row r="48" spans="1:14" ht="18.75" x14ac:dyDescent="0.3">
      <c r="C48" s="491" t="s">
        <v>78</v>
      </c>
      <c r="D48" s="483">
        <f>D47*$B$45</f>
        <v>30</v>
      </c>
      <c r="F48" s="492"/>
      <c r="H48" s="476"/>
    </row>
    <row r="49" spans="1:12" ht="19.5" customHeight="1" x14ac:dyDescent="0.3">
      <c r="C49" s="493" t="s">
        <v>79</v>
      </c>
      <c r="D49" s="494">
        <f>D48/B34</f>
        <v>30</v>
      </c>
      <c r="F49" s="492"/>
      <c r="H49" s="476"/>
    </row>
    <row r="50" spans="1:12" ht="18.75" x14ac:dyDescent="0.3">
      <c r="C50" s="448" t="s">
        <v>80</v>
      </c>
      <c r="D50" s="495">
        <f>AVERAGE(E38:E41,G38:G41)</f>
        <v>11886632.951589873</v>
      </c>
      <c r="F50" s="496"/>
      <c r="H50" s="476"/>
    </row>
    <row r="51" spans="1:12" ht="18.75" x14ac:dyDescent="0.3">
      <c r="C51" s="450" t="s">
        <v>81</v>
      </c>
      <c r="D51" s="497">
        <f>STDEV(E38:E41,G38:G41)/D50</f>
        <v>4.0467962183007734E-3</v>
      </c>
      <c r="F51" s="496"/>
      <c r="H51" s="476"/>
    </row>
    <row r="52" spans="1:12" ht="19.5" customHeight="1" x14ac:dyDescent="0.3">
      <c r="C52" s="498" t="s">
        <v>20</v>
      </c>
      <c r="D52" s="499">
        <f>COUNT(E38:E41,G38:G41)</f>
        <v>6</v>
      </c>
      <c r="F52" s="496"/>
    </row>
    <row r="54" spans="1:12" ht="18.75" x14ac:dyDescent="0.3">
      <c r="A54" s="500" t="s">
        <v>1</v>
      </c>
      <c r="B54" s="501" t="s">
        <v>82</v>
      </c>
    </row>
    <row r="55" spans="1:12" ht="18.75" x14ac:dyDescent="0.3">
      <c r="A55" s="425" t="s">
        <v>83</v>
      </c>
      <c r="B55" s="502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503" t="s">
        <v>84</v>
      </c>
      <c r="B56" s="504">
        <v>600</v>
      </c>
      <c r="C56" s="425" t="str">
        <f>B20</f>
        <v xml:space="preserve"> Efavirenz </v>
      </c>
      <c r="H56" s="505"/>
    </row>
    <row r="57" spans="1:12" ht="18.75" x14ac:dyDescent="0.3">
      <c r="A57" s="502" t="s">
        <v>85</v>
      </c>
      <c r="B57" s="573">
        <f>Uniformity!C46</f>
        <v>1912.6375</v>
      </c>
      <c r="H57" s="505"/>
    </row>
    <row r="58" spans="1:12" ht="19.5" customHeight="1" x14ac:dyDescent="0.3">
      <c r="H58" s="505"/>
    </row>
    <row r="59" spans="1:12" s="3" customFormat="1" ht="27" customHeight="1" x14ac:dyDescent="0.4">
      <c r="A59" s="448" t="s">
        <v>86</v>
      </c>
      <c r="B59" s="449">
        <v>200</v>
      </c>
      <c r="C59" s="425"/>
      <c r="D59" s="506" t="s">
        <v>87</v>
      </c>
      <c r="E59" s="507" t="s">
        <v>59</v>
      </c>
      <c r="F59" s="507" t="s">
        <v>60</v>
      </c>
      <c r="G59" s="507" t="s">
        <v>88</v>
      </c>
      <c r="H59" s="452" t="s">
        <v>89</v>
      </c>
      <c r="L59" s="438"/>
    </row>
    <row r="60" spans="1:12" s="3" customFormat="1" ht="26.25" customHeight="1" x14ac:dyDescent="0.4">
      <c r="A60" s="450" t="s">
        <v>90</v>
      </c>
      <c r="B60" s="451">
        <v>2</v>
      </c>
      <c r="C60" s="780" t="s">
        <v>91</v>
      </c>
      <c r="D60" s="783">
        <f>Lamivudine!D60</f>
        <v>1911.02</v>
      </c>
      <c r="E60" s="508">
        <v>1</v>
      </c>
      <c r="F60" s="509"/>
      <c r="G60" s="574" t="str">
        <f>IF(ISBLANK(F60),"-",(F60/$D$50*$D$47*$B$68)*($B$57/$D$60))</f>
        <v>-</v>
      </c>
      <c r="H60" s="592" t="str">
        <f t="shared" ref="H60:H71" si="0">IF(ISBLANK(F60),"-",(G60/$B$56)*100)</f>
        <v>-</v>
      </c>
      <c r="L60" s="438"/>
    </row>
    <row r="61" spans="1:12" s="3" customFormat="1" ht="26.25" customHeight="1" x14ac:dyDescent="0.4">
      <c r="A61" s="450" t="s">
        <v>92</v>
      </c>
      <c r="B61" s="451">
        <v>25</v>
      </c>
      <c r="C61" s="781"/>
      <c r="D61" s="784"/>
      <c r="E61" s="510">
        <v>2</v>
      </c>
      <c r="F61" s="463"/>
      <c r="G61" s="575" t="str">
        <f>IF(ISBLANK(F61),"-",(F61/$D$50*$D$47*$B$68)*($B$57/$D$60))</f>
        <v>-</v>
      </c>
      <c r="H61" s="593" t="str">
        <f t="shared" si="0"/>
        <v>-</v>
      </c>
      <c r="L61" s="438"/>
    </row>
    <row r="62" spans="1:12" s="3" customFormat="1" ht="26.25" customHeight="1" x14ac:dyDescent="0.4">
      <c r="A62" s="450" t="s">
        <v>93</v>
      </c>
      <c r="B62" s="451">
        <v>1</v>
      </c>
      <c r="C62" s="781"/>
      <c r="D62" s="784"/>
      <c r="E62" s="510">
        <v>3</v>
      </c>
      <c r="F62" s="511"/>
      <c r="G62" s="575" t="str">
        <f>IF(ISBLANK(F62),"-",(F62/$D$50*$D$47*$B$68)*($B$57/$D$60))</f>
        <v>-</v>
      </c>
      <c r="H62" s="593" t="str">
        <f t="shared" si="0"/>
        <v>-</v>
      </c>
      <c r="L62" s="438"/>
    </row>
    <row r="63" spans="1:12" ht="27" customHeight="1" x14ac:dyDescent="0.4">
      <c r="A63" s="450" t="s">
        <v>94</v>
      </c>
      <c r="B63" s="451">
        <v>1</v>
      </c>
      <c r="C63" s="782"/>
      <c r="D63" s="785"/>
      <c r="E63" s="512">
        <v>4</v>
      </c>
      <c r="F63" s="513"/>
      <c r="G63" s="575" t="str">
        <f>IF(ISBLANK(F63),"-",(F63/$D$50*$D$47*$B$68)*($B$57/$D$60))</f>
        <v>-</v>
      </c>
      <c r="H63" s="593" t="str">
        <f t="shared" si="0"/>
        <v>-</v>
      </c>
    </row>
    <row r="64" spans="1:12" ht="26.25" customHeight="1" x14ac:dyDescent="0.4">
      <c r="A64" s="450" t="s">
        <v>95</v>
      </c>
      <c r="B64" s="451">
        <v>1</v>
      </c>
      <c r="C64" s="780" t="s">
        <v>96</v>
      </c>
      <c r="D64" s="783">
        <f>Lamivudine!D64</f>
        <v>1898.11</v>
      </c>
      <c r="E64" s="508">
        <v>1</v>
      </c>
      <c r="F64" s="509">
        <v>10987991</v>
      </c>
      <c r="G64" s="574">
        <f>IF(ISBLANK(F64),"-",(F64/$D$50*$D$47*$B$68)*($B$57/$D$64))</f>
        <v>558.88439350575482</v>
      </c>
      <c r="H64" s="592">
        <f t="shared" si="0"/>
        <v>93.147398917625807</v>
      </c>
    </row>
    <row r="65" spans="1:8" ht="26.25" customHeight="1" x14ac:dyDescent="0.4">
      <c r="A65" s="450" t="s">
        <v>97</v>
      </c>
      <c r="B65" s="451">
        <v>1</v>
      </c>
      <c r="C65" s="781"/>
      <c r="D65" s="784"/>
      <c r="E65" s="510">
        <v>2</v>
      </c>
      <c r="F65" s="463">
        <v>10953557</v>
      </c>
      <c r="G65" s="575">
        <f>IF(ISBLANK(F65),"-",(F65/$D$50*$D$47*$B$68)*($B$57/$D$64))</f>
        <v>557.13297004663696</v>
      </c>
      <c r="H65" s="593">
        <f t="shared" si="0"/>
        <v>92.855495007772831</v>
      </c>
    </row>
    <row r="66" spans="1:8" ht="26.25" customHeight="1" x14ac:dyDescent="0.4">
      <c r="A66" s="450" t="s">
        <v>98</v>
      </c>
      <c r="B66" s="451">
        <v>1</v>
      </c>
      <c r="C66" s="781"/>
      <c r="D66" s="784"/>
      <c r="E66" s="510">
        <v>3</v>
      </c>
      <c r="F66" s="463">
        <v>10782569</v>
      </c>
      <c r="G66" s="575">
        <f>IF(ISBLANK(F66),"-",(F66/$D$50*$D$47*$B$68)*($B$57/$D$64))</f>
        <v>548.43597305448782</v>
      </c>
      <c r="H66" s="593">
        <f t="shared" si="0"/>
        <v>91.405995509081308</v>
      </c>
    </row>
    <row r="67" spans="1:8" ht="27" customHeight="1" x14ac:dyDescent="0.4">
      <c r="A67" s="450" t="s">
        <v>99</v>
      </c>
      <c r="B67" s="451">
        <v>1</v>
      </c>
      <c r="C67" s="782"/>
      <c r="D67" s="785"/>
      <c r="E67" s="512">
        <v>4</v>
      </c>
      <c r="F67" s="513"/>
      <c r="G67" s="591" t="str">
        <f>IF(ISBLANK(F67),"-",(F67/$D$50*$D$47*$B$68)*($B$57/$D$64))</f>
        <v>-</v>
      </c>
      <c r="H67" s="594" t="str">
        <f t="shared" si="0"/>
        <v>-</v>
      </c>
    </row>
    <row r="68" spans="1:8" ht="26.25" customHeight="1" x14ac:dyDescent="0.4">
      <c r="A68" s="450" t="s">
        <v>100</v>
      </c>
      <c r="B68" s="514">
        <f>(B67/B66)*(B65/B64)*(B63/B62)*(B61/B60)*B59</f>
        <v>2500</v>
      </c>
      <c r="C68" s="780" t="s">
        <v>101</v>
      </c>
      <c r="D68" s="783">
        <f>Lamivudine!D68</f>
        <v>1905.57</v>
      </c>
      <c r="E68" s="508">
        <v>1</v>
      </c>
      <c r="F68" s="509">
        <v>11267364</v>
      </c>
      <c r="G68" s="574">
        <f>IF(ISBLANK(F68),"-",(F68/$D$50*$D$47*$B$68)*($B$57/$D$68))</f>
        <v>570.85062693205748</v>
      </c>
      <c r="H68" s="593">
        <f t="shared" si="0"/>
        <v>95.141771155342909</v>
      </c>
    </row>
    <row r="69" spans="1:8" ht="27" customHeight="1" x14ac:dyDescent="0.4">
      <c r="A69" s="498" t="s">
        <v>102</v>
      </c>
      <c r="B69" s="515">
        <f>(D47*B68)/B56*B57</f>
        <v>1912.6375</v>
      </c>
      <c r="C69" s="781"/>
      <c r="D69" s="784"/>
      <c r="E69" s="510">
        <v>2</v>
      </c>
      <c r="F69" s="463">
        <v>11198300</v>
      </c>
      <c r="G69" s="575">
        <f>IF(ISBLANK(F69),"-",(F69/$D$50*$D$47*$B$68)*($B$57/$D$68))</f>
        <v>567.35156293639386</v>
      </c>
      <c r="H69" s="593">
        <f t="shared" si="0"/>
        <v>94.558593822732306</v>
      </c>
    </row>
    <row r="70" spans="1:8" ht="26.25" customHeight="1" x14ac:dyDescent="0.4">
      <c r="A70" s="793" t="s">
        <v>75</v>
      </c>
      <c r="B70" s="794"/>
      <c r="C70" s="781"/>
      <c r="D70" s="784"/>
      <c r="E70" s="510">
        <v>3</v>
      </c>
      <c r="F70" s="463">
        <v>11109865</v>
      </c>
      <c r="G70" s="575">
        <f>IF(ISBLANK(F70),"-",(F70/$D$50*$D$47*$B$68)*($B$57/$D$68))</f>
        <v>562.87108505419042</v>
      </c>
      <c r="H70" s="593">
        <f t="shared" si="0"/>
        <v>93.811847509031736</v>
      </c>
    </row>
    <row r="71" spans="1:8" ht="27" customHeight="1" x14ac:dyDescent="0.4">
      <c r="A71" s="795"/>
      <c r="B71" s="796"/>
      <c r="C71" s="792"/>
      <c r="D71" s="785"/>
      <c r="E71" s="512">
        <v>4</v>
      </c>
      <c r="F71" s="513"/>
      <c r="G71" s="591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68</v>
      </c>
      <c r="G72" s="580">
        <f>AVERAGE(G60:G71)</f>
        <v>560.9211019215868</v>
      </c>
      <c r="H72" s="595">
        <f>AVERAGE(H60:H71)</f>
        <v>93.486850320264466</v>
      </c>
    </row>
    <row r="73" spans="1:8" ht="26.25" customHeight="1" x14ac:dyDescent="0.4">
      <c r="C73" s="516"/>
      <c r="D73" s="516"/>
      <c r="E73" s="516"/>
      <c r="F73" s="519" t="s">
        <v>81</v>
      </c>
      <c r="G73" s="579">
        <f>STDEV(G60:G71)/G72</f>
        <v>1.4220416675916531E-2</v>
      </c>
      <c r="H73" s="579">
        <f>STDEV(H60:H71)/H72</f>
        <v>1.4220416675916487E-2</v>
      </c>
    </row>
    <row r="74" spans="1:8" ht="27" customHeight="1" x14ac:dyDescent="0.4">
      <c r="A74" s="516"/>
      <c r="B74" s="516"/>
      <c r="C74" s="517"/>
      <c r="D74" s="517"/>
      <c r="E74" s="520"/>
      <c r="F74" s="521" t="s">
        <v>20</v>
      </c>
      <c r="G74" s="522">
        <f>COUNT(G60:G71)</f>
        <v>6</v>
      </c>
      <c r="H74" s="522">
        <f>COUNT(H60:H71)</f>
        <v>6</v>
      </c>
    </row>
    <row r="76" spans="1:8" ht="26.25" customHeight="1" x14ac:dyDescent="0.4">
      <c r="A76" s="434" t="s">
        <v>103</v>
      </c>
      <c r="B76" s="523" t="s">
        <v>104</v>
      </c>
      <c r="C76" s="788" t="str">
        <f>B26</f>
        <v>Efavirenz</v>
      </c>
      <c r="D76" s="788"/>
      <c r="E76" s="524" t="s">
        <v>105</v>
      </c>
      <c r="F76" s="524"/>
      <c r="G76" s="525">
        <f>H72</f>
        <v>93.486850320264466</v>
      </c>
      <c r="H76" s="526"/>
    </row>
    <row r="77" spans="1:8" ht="18.75" x14ac:dyDescent="0.3">
      <c r="A77" s="433" t="s">
        <v>106</v>
      </c>
      <c r="B77" s="433" t="s">
        <v>107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74" t="str">
        <f>B26</f>
        <v>Efavirenz</v>
      </c>
      <c r="C79" s="774"/>
    </row>
    <row r="80" spans="1:8" ht="26.25" customHeight="1" x14ac:dyDescent="0.4">
      <c r="A80" s="435" t="s">
        <v>45</v>
      </c>
      <c r="B80" s="774" t="s">
        <v>144</v>
      </c>
      <c r="C80" s="774"/>
    </row>
    <row r="81" spans="1:12" ht="27" customHeight="1" x14ac:dyDescent="0.4">
      <c r="A81" s="435" t="s">
        <v>6</v>
      </c>
      <c r="B81" s="527">
        <v>99.3</v>
      </c>
    </row>
    <row r="82" spans="1:12" s="3" customFormat="1" ht="27" customHeight="1" x14ac:dyDescent="0.4">
      <c r="A82" s="435" t="s">
        <v>46</v>
      </c>
      <c r="B82" s="437">
        <v>0</v>
      </c>
      <c r="C82" s="765" t="s">
        <v>47</v>
      </c>
      <c r="D82" s="766"/>
      <c r="E82" s="766"/>
      <c r="F82" s="766"/>
      <c r="G82" s="767"/>
      <c r="I82" s="438"/>
      <c r="J82" s="438"/>
      <c r="K82" s="438"/>
      <c r="L82" s="438"/>
    </row>
    <row r="83" spans="1:12" s="3" customFormat="1" ht="19.5" customHeight="1" x14ac:dyDescent="0.3">
      <c r="A83" s="435" t="s">
        <v>48</v>
      </c>
      <c r="B83" s="439">
        <f>B81-B82</f>
        <v>99.3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3" customFormat="1" ht="27" customHeight="1" x14ac:dyDescent="0.4">
      <c r="A84" s="435" t="s">
        <v>49</v>
      </c>
      <c r="B84" s="442">
        <v>1</v>
      </c>
      <c r="C84" s="768" t="s">
        <v>108</v>
      </c>
      <c r="D84" s="769"/>
      <c r="E84" s="769"/>
      <c r="F84" s="769"/>
      <c r="G84" s="769"/>
      <c r="H84" s="770"/>
      <c r="I84" s="438"/>
      <c r="J84" s="438"/>
      <c r="K84" s="438"/>
      <c r="L84" s="438"/>
    </row>
    <row r="85" spans="1:12" s="3" customFormat="1" ht="27" customHeight="1" x14ac:dyDescent="0.4">
      <c r="A85" s="435" t="s">
        <v>51</v>
      </c>
      <c r="B85" s="442">
        <v>1</v>
      </c>
      <c r="C85" s="768" t="s">
        <v>109</v>
      </c>
      <c r="D85" s="769"/>
      <c r="E85" s="769"/>
      <c r="F85" s="769"/>
      <c r="G85" s="769"/>
      <c r="H85" s="770"/>
      <c r="I85" s="438"/>
      <c r="J85" s="438"/>
      <c r="K85" s="438"/>
      <c r="L85" s="438"/>
    </row>
    <row r="86" spans="1:12" s="3" customFormat="1" ht="18.75" x14ac:dyDescent="0.3">
      <c r="A86" s="435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3" customFormat="1" ht="18.75" x14ac:dyDescent="0.3">
      <c r="A87" s="435" t="s">
        <v>53</v>
      </c>
      <c r="B87" s="447">
        <f>B84/B85</f>
        <v>1</v>
      </c>
      <c r="C87" s="425" t="s">
        <v>54</v>
      </c>
      <c r="D87" s="425"/>
      <c r="E87" s="425"/>
      <c r="F87" s="425"/>
      <c r="G87" s="425"/>
      <c r="I87" s="438"/>
      <c r="J87" s="438"/>
      <c r="K87" s="438"/>
      <c r="L87" s="438"/>
    </row>
    <row r="88" spans="1:12" ht="19.5" customHeight="1" x14ac:dyDescent="0.3">
      <c r="A88" s="433"/>
      <c r="B88" s="433"/>
    </row>
    <row r="89" spans="1:12" ht="27" customHeight="1" x14ac:dyDescent="0.4">
      <c r="A89" s="448" t="s">
        <v>55</v>
      </c>
      <c r="B89" s="449">
        <v>50</v>
      </c>
      <c r="D89" s="528" t="s">
        <v>56</v>
      </c>
      <c r="E89" s="529"/>
      <c r="F89" s="771" t="s">
        <v>57</v>
      </c>
      <c r="G89" s="773"/>
    </row>
    <row r="90" spans="1:12" ht="27" customHeight="1" x14ac:dyDescent="0.4">
      <c r="A90" s="450" t="s">
        <v>58</v>
      </c>
      <c r="B90" s="451">
        <v>1</v>
      </c>
      <c r="C90" s="530" t="s">
        <v>59</v>
      </c>
      <c r="D90" s="453" t="s">
        <v>60</v>
      </c>
      <c r="E90" s="454" t="s">
        <v>61</v>
      </c>
      <c r="F90" s="453" t="s">
        <v>60</v>
      </c>
      <c r="G90" s="531" t="s">
        <v>61</v>
      </c>
      <c r="I90" s="456" t="s">
        <v>62</v>
      </c>
    </row>
    <row r="91" spans="1:12" ht="26.25" customHeight="1" x14ac:dyDescent="0.4">
      <c r="A91" s="450" t="s">
        <v>63</v>
      </c>
      <c r="B91" s="451">
        <v>1</v>
      </c>
      <c r="C91" s="532">
        <v>1</v>
      </c>
      <c r="D91" s="458">
        <v>231834780</v>
      </c>
      <c r="E91" s="459">
        <f>IF(ISBLANK(D91),"-",$D$101/$D$98*D91)</f>
        <v>244384923.35391703</v>
      </c>
      <c r="F91" s="458">
        <v>247491737</v>
      </c>
      <c r="G91" s="460">
        <f>IF(ISBLANK(F91),"-",$D$101/$F$98*F91)</f>
        <v>247340117.50796762</v>
      </c>
      <c r="I91" s="461"/>
    </row>
    <row r="92" spans="1:12" ht="26.25" customHeight="1" x14ac:dyDescent="0.4">
      <c r="A92" s="450" t="s">
        <v>64</v>
      </c>
      <c r="B92" s="451">
        <v>1</v>
      </c>
      <c r="C92" s="517">
        <v>2</v>
      </c>
      <c r="D92" s="463">
        <v>231784528</v>
      </c>
      <c r="E92" s="464">
        <f>IF(ISBLANK(D92),"-",$D$101/$D$98*D92)</f>
        <v>244331951.01228487</v>
      </c>
      <c r="F92" s="463">
        <v>246270959</v>
      </c>
      <c r="G92" s="465">
        <f>IF(ISBLANK(F92),"-",$D$101/$F$98*F92)</f>
        <v>246120087.38643211</v>
      </c>
      <c r="I92" s="775">
        <f>ABS((F96/D96*D95)-F95)/D95</f>
        <v>1.2816563703934502E-2</v>
      </c>
    </row>
    <row r="93" spans="1:12" ht="26.25" customHeight="1" x14ac:dyDescent="0.4">
      <c r="A93" s="450" t="s">
        <v>65</v>
      </c>
      <c r="B93" s="451">
        <v>1</v>
      </c>
      <c r="C93" s="517">
        <v>3</v>
      </c>
      <c r="D93" s="463">
        <v>230858435</v>
      </c>
      <c r="E93" s="464">
        <f>IF(ISBLANK(D93),"-",$D$101/$D$98*D93)</f>
        <v>243355724.89632592</v>
      </c>
      <c r="F93" s="463">
        <v>247659482</v>
      </c>
      <c r="G93" s="465">
        <f>IF(ISBLANK(F93),"-",$D$101/$F$98*F93)</f>
        <v>247507759.74327737</v>
      </c>
      <c r="I93" s="775"/>
    </row>
    <row r="94" spans="1:12" ht="27" customHeight="1" x14ac:dyDescent="0.4">
      <c r="A94" s="450" t="s">
        <v>66</v>
      </c>
      <c r="B94" s="451">
        <v>1</v>
      </c>
      <c r="C94" s="533">
        <v>4</v>
      </c>
      <c r="D94" s="468"/>
      <c r="E94" s="469" t="str">
        <f>IF(ISBLANK(D94),"-",$D$101/$D$98*D94)</f>
        <v>-</v>
      </c>
      <c r="F94" s="534"/>
      <c r="G94" s="470" t="str">
        <f>IF(ISBLANK(F94),"-",$D$101/$F$98*F94)</f>
        <v>-</v>
      </c>
      <c r="I94" s="471"/>
    </row>
    <row r="95" spans="1:12" ht="27" customHeight="1" x14ac:dyDescent="0.4">
      <c r="A95" s="450" t="s">
        <v>67</v>
      </c>
      <c r="B95" s="451">
        <v>1</v>
      </c>
      <c r="C95" s="535" t="s">
        <v>68</v>
      </c>
      <c r="D95" s="536">
        <f>AVERAGE(D91:D94)</f>
        <v>231492581</v>
      </c>
      <c r="E95" s="474">
        <f>AVERAGE(E91:E94)</f>
        <v>244024199.75417593</v>
      </c>
      <c r="F95" s="537">
        <f>AVERAGE(F91:F94)</f>
        <v>247140726</v>
      </c>
      <c r="G95" s="538">
        <f>AVERAGE(G91:G94)</f>
        <v>246989321.54589239</v>
      </c>
    </row>
    <row r="96" spans="1:12" ht="26.25" customHeight="1" x14ac:dyDescent="0.4">
      <c r="A96" s="450" t="s">
        <v>69</v>
      </c>
      <c r="B96" s="436">
        <v>1</v>
      </c>
      <c r="C96" s="539" t="s">
        <v>110</v>
      </c>
      <c r="D96" s="540">
        <v>28.66</v>
      </c>
      <c r="E96" s="466"/>
      <c r="F96" s="478">
        <v>30.23</v>
      </c>
    </row>
    <row r="97" spans="1:10" ht="26.25" customHeight="1" x14ac:dyDescent="0.4">
      <c r="A97" s="450" t="s">
        <v>71</v>
      </c>
      <c r="B97" s="436">
        <v>1</v>
      </c>
      <c r="C97" s="541" t="s">
        <v>111</v>
      </c>
      <c r="D97" s="542">
        <f>D96*$B$87</f>
        <v>28.66</v>
      </c>
      <c r="E97" s="481"/>
      <c r="F97" s="480">
        <f>F96*$B$87</f>
        <v>30.23</v>
      </c>
    </row>
    <row r="98" spans="1:10" ht="19.5" customHeight="1" x14ac:dyDescent="0.3">
      <c r="A98" s="450" t="s">
        <v>73</v>
      </c>
      <c r="B98" s="543">
        <f>(B97/B96)*(B95/B94)*(B93/B92)*(B91/B90)*B89</f>
        <v>50</v>
      </c>
      <c r="C98" s="541" t="s">
        <v>112</v>
      </c>
      <c r="D98" s="544">
        <f>D97*$B$83/100</f>
        <v>28.459379999999999</v>
      </c>
      <c r="E98" s="484"/>
      <c r="F98" s="483">
        <f>F97*$B$83/100</f>
        <v>30.01839</v>
      </c>
    </row>
    <row r="99" spans="1:10" ht="19.5" customHeight="1" x14ac:dyDescent="0.3">
      <c r="A99" s="776" t="s">
        <v>75</v>
      </c>
      <c r="B99" s="790"/>
      <c r="C99" s="541" t="s">
        <v>113</v>
      </c>
      <c r="D99" s="545">
        <f>D98/$B$98</f>
        <v>0.56918760000000002</v>
      </c>
      <c r="E99" s="484"/>
      <c r="F99" s="487">
        <f>F98/$B$98</f>
        <v>0.60036780000000001</v>
      </c>
      <c r="G99" s="546"/>
      <c r="H99" s="476"/>
    </row>
    <row r="100" spans="1:10" ht="19.5" customHeight="1" x14ac:dyDescent="0.3">
      <c r="A100" s="778"/>
      <c r="B100" s="791"/>
      <c r="C100" s="541" t="s">
        <v>77</v>
      </c>
      <c r="D100" s="547">
        <f>$B$56/$B$116</f>
        <v>0.6</v>
      </c>
      <c r="F100" s="492"/>
      <c r="G100" s="548"/>
      <c r="H100" s="476"/>
    </row>
    <row r="101" spans="1:10" ht="18.75" x14ac:dyDescent="0.3">
      <c r="C101" s="541" t="s">
        <v>78</v>
      </c>
      <c r="D101" s="542">
        <f>D100*$B$98</f>
        <v>30</v>
      </c>
      <c r="F101" s="492"/>
      <c r="G101" s="546"/>
      <c r="H101" s="476"/>
    </row>
    <row r="102" spans="1:10" ht="19.5" customHeight="1" x14ac:dyDescent="0.3">
      <c r="C102" s="549" t="s">
        <v>79</v>
      </c>
      <c r="D102" s="550">
        <f>D101/B34</f>
        <v>30</v>
      </c>
      <c r="F102" s="496"/>
      <c r="G102" s="546"/>
      <c r="H102" s="476"/>
      <c r="J102" s="551"/>
    </row>
    <row r="103" spans="1:10" ht="18.75" x14ac:dyDescent="0.3">
      <c r="C103" s="552" t="s">
        <v>114</v>
      </c>
      <c r="D103" s="553">
        <f>AVERAGE(E91:E94,G91:G94)</f>
        <v>245506760.65003416</v>
      </c>
      <c r="F103" s="496"/>
      <c r="G103" s="554"/>
      <c r="H103" s="476"/>
      <c r="J103" s="555"/>
    </row>
    <row r="104" spans="1:10" ht="18.75" x14ac:dyDescent="0.3">
      <c r="C104" s="519" t="s">
        <v>81</v>
      </c>
      <c r="D104" s="556">
        <f>STDEV(E91:E94,G91:G94)/D103</f>
        <v>7.0566521895702667E-3</v>
      </c>
      <c r="F104" s="496"/>
      <c r="G104" s="546"/>
      <c r="H104" s="476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96"/>
      <c r="G105" s="546"/>
      <c r="H105" s="476"/>
      <c r="J105" s="555"/>
    </row>
    <row r="106" spans="1:10" ht="19.5" customHeight="1" x14ac:dyDescent="0.3">
      <c r="A106" s="500"/>
      <c r="B106" s="500"/>
      <c r="C106" s="500"/>
      <c r="D106" s="500"/>
      <c r="E106" s="500"/>
    </row>
    <row r="107" spans="1:10" ht="27" customHeight="1" x14ac:dyDescent="0.4">
      <c r="A107" s="448" t="s">
        <v>115</v>
      </c>
      <c r="B107" s="449">
        <v>1000</v>
      </c>
      <c r="C107" s="596" t="s">
        <v>116</v>
      </c>
      <c r="D107" s="596" t="s">
        <v>60</v>
      </c>
      <c r="E107" s="596" t="s">
        <v>117</v>
      </c>
      <c r="F107" s="558" t="s">
        <v>118</v>
      </c>
    </row>
    <row r="108" spans="1:10" ht="26.25" customHeight="1" x14ac:dyDescent="0.4">
      <c r="A108" s="450" t="s">
        <v>119</v>
      </c>
      <c r="B108" s="451">
        <v>1</v>
      </c>
      <c r="C108" s="601">
        <v>1</v>
      </c>
      <c r="D108" s="602">
        <v>226803159</v>
      </c>
      <c r="E108" s="576">
        <f t="shared" ref="E108:E113" si="1">IF(ISBLANK(D108),"-",D108/$D$103*$D$100*$B$116)</f>
        <v>554.28980871929025</v>
      </c>
      <c r="F108" s="603">
        <f t="shared" ref="F108:F113" si="2">IF(ISBLANK(D108), "-", (E108/$B$56)*100)</f>
        <v>92.381634786548375</v>
      </c>
    </row>
    <row r="109" spans="1:10" ht="26.25" customHeight="1" x14ac:dyDescent="0.4">
      <c r="A109" s="450" t="s">
        <v>92</v>
      </c>
      <c r="B109" s="451">
        <v>1</v>
      </c>
      <c r="C109" s="597">
        <v>2</v>
      </c>
      <c r="D109" s="599">
        <v>227655162</v>
      </c>
      <c r="E109" s="577">
        <f t="shared" si="1"/>
        <v>556.37203976924775</v>
      </c>
      <c r="F109" s="604">
        <f t="shared" si="2"/>
        <v>92.728673294874625</v>
      </c>
    </row>
    <row r="110" spans="1:10" ht="26.25" customHeight="1" x14ac:dyDescent="0.4">
      <c r="A110" s="450" t="s">
        <v>93</v>
      </c>
      <c r="B110" s="451">
        <v>1</v>
      </c>
      <c r="C110" s="597">
        <v>3</v>
      </c>
      <c r="D110" s="599">
        <v>221732264</v>
      </c>
      <c r="E110" s="577">
        <f t="shared" si="1"/>
        <v>541.89692392889094</v>
      </c>
      <c r="F110" s="604">
        <f t="shared" si="2"/>
        <v>90.3161539881485</v>
      </c>
    </row>
    <row r="111" spans="1:10" ht="26.25" customHeight="1" x14ac:dyDescent="0.4">
      <c r="A111" s="450" t="s">
        <v>94</v>
      </c>
      <c r="B111" s="451">
        <v>1</v>
      </c>
      <c r="C111" s="597">
        <v>4</v>
      </c>
      <c r="D111" s="599">
        <v>225125654</v>
      </c>
      <c r="E111" s="577">
        <f t="shared" si="1"/>
        <v>550.19011306392383</v>
      </c>
      <c r="F111" s="604">
        <f t="shared" si="2"/>
        <v>91.698352177320643</v>
      </c>
    </row>
    <row r="112" spans="1:10" ht="26.25" customHeight="1" x14ac:dyDescent="0.4">
      <c r="A112" s="450" t="s">
        <v>95</v>
      </c>
      <c r="B112" s="451">
        <v>1</v>
      </c>
      <c r="C112" s="597">
        <v>5</v>
      </c>
      <c r="D112" s="599">
        <v>223666682</v>
      </c>
      <c r="E112" s="577">
        <f t="shared" si="1"/>
        <v>546.62449557264904</v>
      </c>
      <c r="F112" s="604">
        <f t="shared" si="2"/>
        <v>91.104082595441511</v>
      </c>
    </row>
    <row r="113" spans="1:10" ht="27" customHeight="1" x14ac:dyDescent="0.4">
      <c r="A113" s="450" t="s">
        <v>97</v>
      </c>
      <c r="B113" s="451">
        <v>1</v>
      </c>
      <c r="C113" s="598">
        <v>6</v>
      </c>
      <c r="D113" s="600">
        <v>221244702</v>
      </c>
      <c r="E113" s="578">
        <f t="shared" si="1"/>
        <v>540.70535918653752</v>
      </c>
      <c r="F113" s="605">
        <f t="shared" si="2"/>
        <v>90.11755986442293</v>
      </c>
    </row>
    <row r="114" spans="1:10" ht="27" customHeight="1" x14ac:dyDescent="0.4">
      <c r="A114" s="450" t="s">
        <v>98</v>
      </c>
      <c r="B114" s="451">
        <v>1</v>
      </c>
      <c r="C114" s="559"/>
      <c r="D114" s="517"/>
      <c r="E114" s="424"/>
      <c r="F114" s="606"/>
    </row>
    <row r="115" spans="1:10" ht="26.25" customHeight="1" x14ac:dyDescent="0.4">
      <c r="A115" s="450" t="s">
        <v>99</v>
      </c>
      <c r="B115" s="451">
        <v>1</v>
      </c>
      <c r="C115" s="559"/>
      <c r="D115" s="583" t="s">
        <v>68</v>
      </c>
      <c r="E115" s="585">
        <f>AVERAGE(E108:E113)</f>
        <v>548.3464567067565</v>
      </c>
      <c r="F115" s="607">
        <f>AVERAGE(F108:F113)</f>
        <v>91.391076117792764</v>
      </c>
    </row>
    <row r="116" spans="1:10" ht="27" customHeight="1" x14ac:dyDescent="0.4">
      <c r="A116" s="450" t="s">
        <v>100</v>
      </c>
      <c r="B116" s="482">
        <f>(B115/B114)*(B113/B112)*(B111/B110)*(B109/B108)*B107</f>
        <v>1000</v>
      </c>
      <c r="C116" s="560"/>
      <c r="D116" s="584" t="s">
        <v>81</v>
      </c>
      <c r="E116" s="582">
        <f>STDEV(E108:E113)/E115</f>
        <v>1.1707883299134634E-2</v>
      </c>
      <c r="F116" s="561">
        <f>STDEV(F108:F113)/F115</f>
        <v>1.1707883299134587E-2</v>
      </c>
      <c r="I116" s="424"/>
    </row>
    <row r="117" spans="1:10" ht="27" customHeight="1" x14ac:dyDescent="0.4">
      <c r="A117" s="776" t="s">
        <v>75</v>
      </c>
      <c r="B117" s="777"/>
      <c r="C117" s="562"/>
      <c r="D117" s="521" t="s">
        <v>20</v>
      </c>
      <c r="E117" s="587">
        <f>COUNT(E108:E113)</f>
        <v>6</v>
      </c>
      <c r="F117" s="588">
        <f>COUNT(F108:F113)</f>
        <v>6</v>
      </c>
      <c r="I117" s="424"/>
      <c r="J117" s="555"/>
    </row>
    <row r="118" spans="1:10" ht="26.25" customHeight="1" x14ac:dyDescent="0.3">
      <c r="A118" s="778"/>
      <c r="B118" s="779"/>
      <c r="C118" s="424"/>
      <c r="D118" s="586"/>
      <c r="E118" s="756" t="s">
        <v>120</v>
      </c>
      <c r="F118" s="757"/>
      <c r="G118" s="424"/>
      <c r="H118" s="424"/>
      <c r="I118" s="424"/>
    </row>
    <row r="119" spans="1:10" ht="25.5" customHeight="1" x14ac:dyDescent="0.4">
      <c r="A119" s="571"/>
      <c r="B119" s="446"/>
      <c r="C119" s="424"/>
      <c r="D119" s="584" t="s">
        <v>121</v>
      </c>
      <c r="E119" s="589">
        <f>MIN(E108:E113)</f>
        <v>540.70535918653752</v>
      </c>
      <c r="F119" s="608">
        <f>MIN(F108:F113)</f>
        <v>90.11755986442293</v>
      </c>
      <c r="G119" s="424"/>
      <c r="H119" s="424"/>
      <c r="I119" s="424"/>
    </row>
    <row r="120" spans="1:10" ht="24" customHeight="1" x14ac:dyDescent="0.4">
      <c r="A120" s="571"/>
      <c r="B120" s="446"/>
      <c r="C120" s="424"/>
      <c r="D120" s="493" t="s">
        <v>122</v>
      </c>
      <c r="E120" s="590">
        <f>MAX(E108:E113)</f>
        <v>556.37203976924775</v>
      </c>
      <c r="F120" s="609">
        <f>MAX(F108:F113)</f>
        <v>92.728673294874625</v>
      </c>
      <c r="G120" s="424"/>
      <c r="H120" s="424"/>
      <c r="I120" s="424"/>
    </row>
    <row r="121" spans="1:10" ht="27" customHeight="1" x14ac:dyDescent="0.3">
      <c r="A121" s="571"/>
      <c r="B121" s="446"/>
      <c r="C121" s="424"/>
      <c r="D121" s="424"/>
      <c r="E121" s="424"/>
      <c r="F121" s="517"/>
      <c r="G121" s="424"/>
      <c r="H121" s="424"/>
      <c r="I121" s="424"/>
    </row>
    <row r="122" spans="1:10" ht="25.5" customHeight="1" x14ac:dyDescent="0.3">
      <c r="A122" s="571"/>
      <c r="B122" s="446"/>
      <c r="C122" s="424"/>
      <c r="D122" s="424"/>
      <c r="E122" s="424"/>
      <c r="F122" s="517"/>
      <c r="G122" s="424"/>
      <c r="H122" s="424"/>
      <c r="I122" s="424"/>
    </row>
    <row r="123" spans="1:10" ht="18.75" x14ac:dyDescent="0.3">
      <c r="A123" s="571"/>
      <c r="B123" s="446"/>
      <c r="C123" s="424"/>
      <c r="D123" s="424"/>
      <c r="E123" s="424"/>
      <c r="F123" s="517"/>
      <c r="G123" s="424"/>
      <c r="H123" s="424"/>
      <c r="I123" s="424"/>
    </row>
    <row r="124" spans="1:10" ht="45.75" customHeight="1" x14ac:dyDescent="0.65">
      <c r="A124" s="434" t="s">
        <v>103</v>
      </c>
      <c r="B124" s="523" t="s">
        <v>123</v>
      </c>
      <c r="C124" s="788" t="str">
        <f>B26</f>
        <v>Efavirenz</v>
      </c>
      <c r="D124" s="788"/>
      <c r="E124" s="524" t="s">
        <v>124</v>
      </c>
      <c r="F124" s="524"/>
      <c r="G124" s="610">
        <f>F115</f>
        <v>91.391076117792764</v>
      </c>
      <c r="H124" s="424"/>
      <c r="I124" s="424"/>
    </row>
    <row r="125" spans="1:10" ht="45.75" customHeight="1" x14ac:dyDescent="0.65">
      <c r="A125" s="434"/>
      <c r="B125" s="523" t="s">
        <v>125</v>
      </c>
      <c r="C125" s="435" t="s">
        <v>126</v>
      </c>
      <c r="D125" s="610">
        <f>MIN(F108:F113)</f>
        <v>90.11755986442293</v>
      </c>
      <c r="E125" s="535" t="s">
        <v>127</v>
      </c>
      <c r="F125" s="610">
        <f>MAX(F108:F113)</f>
        <v>92.728673294874625</v>
      </c>
      <c r="G125" s="525"/>
      <c r="H125" s="424"/>
      <c r="I125" s="424"/>
    </row>
    <row r="126" spans="1:10" ht="19.5" customHeight="1" x14ac:dyDescent="0.3">
      <c r="A126" s="563"/>
      <c r="B126" s="563"/>
      <c r="C126" s="564"/>
      <c r="D126" s="564"/>
      <c r="E126" s="564"/>
      <c r="F126" s="564"/>
      <c r="G126" s="564"/>
      <c r="H126" s="564"/>
    </row>
    <row r="127" spans="1:10" ht="18.75" x14ac:dyDescent="0.3">
      <c r="B127" s="789" t="s">
        <v>23</v>
      </c>
      <c r="C127" s="789"/>
      <c r="E127" s="530" t="s">
        <v>24</v>
      </c>
      <c r="F127" s="565"/>
      <c r="G127" s="789" t="s">
        <v>25</v>
      </c>
      <c r="H127" s="789"/>
    </row>
    <row r="128" spans="1:10" ht="69.95" customHeight="1" x14ac:dyDescent="0.3">
      <c r="A128" s="566" t="s">
        <v>26</v>
      </c>
      <c r="B128" s="567"/>
      <c r="C128" s="567"/>
      <c r="E128" s="567"/>
      <c r="F128" s="424"/>
      <c r="G128" s="568"/>
      <c r="H128" s="568"/>
    </row>
    <row r="129" spans="1:9" ht="69.95" customHeight="1" x14ac:dyDescent="0.3">
      <c r="A129" s="566" t="s">
        <v>27</v>
      </c>
      <c r="B129" s="569"/>
      <c r="C129" s="569"/>
      <c r="E129" s="569"/>
      <c r="F129" s="424"/>
      <c r="G129" s="570"/>
      <c r="H129" s="570"/>
    </row>
    <row r="130" spans="1:9" ht="18.75" x14ac:dyDescent="0.3">
      <c r="A130" s="516"/>
      <c r="B130" s="516"/>
      <c r="C130" s="517"/>
      <c r="D130" s="517"/>
      <c r="E130" s="517"/>
      <c r="F130" s="520"/>
      <c r="G130" s="517"/>
      <c r="H130" s="517"/>
      <c r="I130" s="424"/>
    </row>
    <row r="131" spans="1:9" ht="18.75" x14ac:dyDescent="0.3">
      <c r="A131" s="516"/>
      <c r="B131" s="516"/>
      <c r="C131" s="517"/>
      <c r="D131" s="517"/>
      <c r="E131" s="517"/>
      <c r="F131" s="520"/>
      <c r="G131" s="517"/>
      <c r="H131" s="517"/>
      <c r="I131" s="424"/>
    </row>
    <row r="132" spans="1:9" ht="18.75" x14ac:dyDescent="0.3">
      <c r="A132" s="516"/>
      <c r="B132" s="516"/>
      <c r="C132" s="517"/>
      <c r="D132" s="517"/>
      <c r="E132" s="517"/>
      <c r="F132" s="520"/>
      <c r="G132" s="517"/>
      <c r="H132" s="517"/>
      <c r="I132" s="424"/>
    </row>
    <row r="133" spans="1:9" ht="18.75" x14ac:dyDescent="0.3">
      <c r="A133" s="516"/>
      <c r="B133" s="516"/>
      <c r="C133" s="517"/>
      <c r="D133" s="517"/>
      <c r="E133" s="517"/>
      <c r="F133" s="520"/>
      <c r="G133" s="517"/>
      <c r="H133" s="517"/>
      <c r="I133" s="424"/>
    </row>
    <row r="134" spans="1:9" ht="18.75" x14ac:dyDescent="0.3">
      <c r="A134" s="516"/>
      <c r="B134" s="516"/>
      <c r="C134" s="517"/>
      <c r="D134" s="517"/>
      <c r="E134" s="517"/>
      <c r="F134" s="520"/>
      <c r="G134" s="517"/>
      <c r="H134" s="517"/>
      <c r="I134" s="424"/>
    </row>
    <row r="135" spans="1:9" ht="18.75" x14ac:dyDescent="0.3">
      <c r="A135" s="516"/>
      <c r="B135" s="516"/>
      <c r="C135" s="517"/>
      <c r="D135" s="517"/>
      <c r="E135" s="517"/>
      <c r="F135" s="520"/>
      <c r="G135" s="517"/>
      <c r="H135" s="517"/>
      <c r="I135" s="424"/>
    </row>
    <row r="136" spans="1:9" ht="18.75" x14ac:dyDescent="0.3">
      <c r="A136" s="516"/>
      <c r="B136" s="516"/>
      <c r="C136" s="517"/>
      <c r="D136" s="517"/>
      <c r="E136" s="517"/>
      <c r="F136" s="520"/>
      <c r="G136" s="517"/>
      <c r="H136" s="517"/>
      <c r="I136" s="424"/>
    </row>
    <row r="137" spans="1:9" ht="18.75" x14ac:dyDescent="0.3">
      <c r="A137" s="516"/>
      <c r="B137" s="516"/>
      <c r="C137" s="517"/>
      <c r="D137" s="517"/>
      <c r="E137" s="517"/>
      <c r="F137" s="520"/>
      <c r="G137" s="517"/>
      <c r="H137" s="517"/>
      <c r="I137" s="424"/>
    </row>
    <row r="138" spans="1:9" ht="18.75" x14ac:dyDescent="0.3">
      <c r="A138" s="516"/>
      <c r="B138" s="516"/>
      <c r="C138" s="517"/>
      <c r="D138" s="517"/>
      <c r="E138" s="517"/>
      <c r="F138" s="520"/>
      <c r="G138" s="517"/>
      <c r="H138" s="517"/>
      <c r="I138" s="42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</vt:lpstr>
      <vt:lpstr>SST TDF</vt:lpstr>
      <vt:lpstr>SST Efav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'SST Efav'!Print_Area</vt:lpstr>
      <vt:lpstr>'SST lam'!Print_Area</vt:lpstr>
      <vt:lpstr>'SST TDF'!Print_Area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2016-11-16T09:10:44Z</cp:lastPrinted>
  <dcterms:created xsi:type="dcterms:W3CDTF">2005-07-05T10:19:27Z</dcterms:created>
  <dcterms:modified xsi:type="dcterms:W3CDTF">2016-11-25T09:41:40Z</dcterms:modified>
</cp:coreProperties>
</file>