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LC2_NQCL\Desktop\SARAH K\"/>
    </mc:Choice>
  </mc:AlternateContent>
  <bookViews>
    <workbookView xWindow="0" yWindow="0" windowWidth="20490" windowHeight="7755" activeTab="1"/>
  </bookViews>
  <sheets>
    <sheet name="SST" sheetId="1" r:id="rId1"/>
    <sheet name="Isoniazid" sheetId="2" r:id="rId2"/>
    <sheet name="Uniformity" sheetId="3" r:id="rId3"/>
  </sheets>
  <definedNames>
    <definedName name="_xlnm.Print_Area" localSheetId="1">Isoniazid!$A$1:$I$129</definedName>
    <definedName name="_xlnm.Print_Area" localSheetId="2">Uniformity!$A$12:$F$54</definedName>
  </definedNames>
  <calcPr calcId="152511"/>
</workbook>
</file>

<file path=xl/calcChain.xml><?xml version="1.0" encoding="utf-8"?>
<calcChain xmlns="http://schemas.openxmlformats.org/spreadsheetml/2006/main">
  <c r="B21" i="1" l="1"/>
  <c r="B32" i="1" l="1"/>
  <c r="E30" i="1"/>
  <c r="D30" i="1"/>
  <c r="C30" i="1"/>
  <c r="B30" i="1"/>
  <c r="B31" i="1" s="1"/>
  <c r="C46" i="3"/>
  <c r="D50" i="3" s="1"/>
  <c r="C45" i="3"/>
  <c r="C19" i="3"/>
  <c r="C124" i="2"/>
  <c r="B116" i="2"/>
  <c r="D100" i="2" s="1"/>
  <c r="B98" i="2"/>
  <c r="D97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F98" i="2" l="1"/>
  <c r="F99" i="2" s="1"/>
  <c r="D101" i="2"/>
  <c r="D102" i="2" s="1"/>
  <c r="D29" i="3"/>
  <c r="D40" i="3"/>
  <c r="D49" i="3"/>
  <c r="D43" i="3"/>
  <c r="D24" i="3"/>
  <c r="D35" i="3"/>
  <c r="D27" i="3"/>
  <c r="D37" i="3"/>
  <c r="D32" i="3"/>
  <c r="D25" i="3"/>
  <c r="D31" i="3"/>
  <c r="D36" i="3"/>
  <c r="D41" i="3"/>
  <c r="C49" i="3"/>
  <c r="D28" i="3"/>
  <c r="D33" i="3"/>
  <c r="D39" i="3"/>
  <c r="I92" i="2"/>
  <c r="I39" i="2"/>
  <c r="F45" i="2"/>
  <c r="F46" i="2" s="1"/>
  <c r="D98" i="2"/>
  <c r="E94" i="2" s="1"/>
  <c r="D49" i="2"/>
  <c r="G41" i="2"/>
  <c r="D44" i="2"/>
  <c r="D45" i="2" s="1"/>
  <c r="D46" i="2" s="1"/>
  <c r="C50" i="3"/>
  <c r="G94" i="2"/>
  <c r="D26" i="3"/>
  <c r="D30" i="3"/>
  <c r="D34" i="3"/>
  <c r="D38" i="3"/>
  <c r="D42" i="3"/>
  <c r="B49" i="3"/>
  <c r="G92" i="2" l="1"/>
  <c r="G40" i="2"/>
  <c r="G39" i="2"/>
  <c r="G93" i="2"/>
  <c r="G91" i="2"/>
  <c r="G38" i="2"/>
  <c r="G42" i="2"/>
  <c r="E38" i="2"/>
  <c r="G95" i="2"/>
  <c r="E39" i="2"/>
  <c r="E41" i="2"/>
  <c r="E40" i="2"/>
  <c r="D99" i="2"/>
  <c r="E93" i="2"/>
  <c r="E91" i="2"/>
  <c r="E92" i="2"/>
  <c r="E42" i="2" l="1"/>
  <c r="D52" i="2"/>
  <c r="D50" i="2"/>
  <c r="D51" i="2" s="1"/>
  <c r="E95" i="2"/>
  <c r="D105" i="2"/>
  <c r="D103" i="2"/>
  <c r="G69" i="2"/>
  <c r="H69" i="2" s="1"/>
  <c r="G61" i="2" l="1"/>
  <c r="H61" i="2" s="1"/>
  <c r="G70" i="2"/>
  <c r="H70" i="2" s="1"/>
  <c r="G71" i="2"/>
  <c r="H71" i="2" s="1"/>
  <c r="G60" i="2"/>
  <c r="H60" i="2" s="1"/>
  <c r="G66" i="2"/>
  <c r="H66" i="2" s="1"/>
  <c r="G63" i="2"/>
  <c r="H63" i="2" s="1"/>
  <c r="G68" i="2"/>
  <c r="H68" i="2" s="1"/>
  <c r="G65" i="2"/>
  <c r="H65" i="2" s="1"/>
  <c r="G62" i="2"/>
  <c r="H62" i="2" s="1"/>
  <c r="G64" i="2"/>
  <c r="H64" i="2" s="1"/>
  <c r="G67" i="2"/>
  <c r="H67" i="2" s="1"/>
  <c r="E108" i="2"/>
  <c r="E113" i="2"/>
  <c r="F113" i="2" s="1"/>
  <c r="E111" i="2"/>
  <c r="F111" i="2" s="1"/>
  <c r="E109" i="2"/>
  <c r="F109" i="2" s="1"/>
  <c r="D104" i="2"/>
  <c r="E112" i="2"/>
  <c r="F112" i="2" s="1"/>
  <c r="E110" i="2"/>
  <c r="F110" i="2" s="1"/>
  <c r="G74" i="2" l="1"/>
  <c r="G72" i="2"/>
  <c r="G73" i="2" s="1"/>
  <c r="E119" i="2"/>
  <c r="E120" i="2"/>
  <c r="E117" i="2"/>
  <c r="F108" i="2"/>
  <c r="E115" i="2"/>
  <c r="E116" i="2" s="1"/>
  <c r="H74" i="2"/>
  <c r="H72" i="2"/>
  <c r="H73" i="2" l="1"/>
  <c r="G76" i="2"/>
  <c r="F119" i="2"/>
  <c r="F125" i="2"/>
  <c r="F120" i="2"/>
  <c r="F117" i="2"/>
  <c r="D125" i="2"/>
  <c r="F115" i="2"/>
  <c r="F116" i="2" l="1"/>
  <c r="G124" i="2"/>
</calcChain>
</file>

<file path=xl/sharedStrings.xml><?xml version="1.0" encoding="utf-8"?>
<sst xmlns="http://schemas.openxmlformats.org/spreadsheetml/2006/main" count="239" uniqueCount="135">
  <si>
    <t>HPLC System Suitability Report</t>
  </si>
  <si>
    <t>Analysis Data</t>
  </si>
  <si>
    <t>Assay</t>
  </si>
  <si>
    <t>Sample(s)</t>
  </si>
  <si>
    <t>Reference Substance:</t>
  </si>
  <si>
    <t xml:space="preserve">ISONIAZID  TABLETS BP  </t>
  </si>
  <si>
    <t>% age Purity:</t>
  </si>
  <si>
    <t>NDQB201609089</t>
  </si>
  <si>
    <t>Weight (mg):</t>
  </si>
  <si>
    <t>Isoniazid BP</t>
  </si>
  <si>
    <t>Standard Conc (mg/mL):</t>
  </si>
  <si>
    <t>Each tablet contains: Isoniazid BP 300 mg, Lactose and other excipients.</t>
  </si>
  <si>
    <t>2016-09-01 14:00:11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</si>
  <si>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</si>
  <si>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</si>
  <si>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</si>
  <si>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</si>
  <si>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</si>
  <si>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</si>
  <si>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</si>
  <si>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</si>
  <si>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</si>
  <si>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</si>
  <si>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</si>
  <si>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</si>
  <si>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</si>
  <si>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</si>
  <si>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</si>
  <si>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</si>
  <si>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</si>
  <si>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</si>
  <si>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</si>
  <si>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</si>
  <si>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</si>
  <si>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</si>
  <si>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</si>
  <si>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</si>
  <si>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</si>
  <si>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</si>
  <si>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</si>
  <si>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</si>
  <si>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</si>
  <si>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</si>
  <si>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</si>
  <si>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</si>
  <si>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</si>
  <si>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</si>
  <si>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</si>
  <si>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</si>
  <si>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</si>
  <si>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</si>
  <si>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</si>
  <si>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</si>
  <si>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</si>
  <si>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</si>
  <si>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</si>
  <si>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</si>
  <si>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</si>
  <si>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</si>
  <si>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</si>
  <si>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</si>
  <si>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</si>
  <si>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</si>
  <si>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</si>
  <si>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</si>
  <si>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</si>
  <si>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</si>
  <si>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</si>
  <si>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</si>
  <si>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</si>
  <si>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</si>
  <si>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</si>
  <si>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</si>
  <si>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</si>
  <si>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</si>
  <si>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</si>
  <si>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</si>
  <si>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</si>
  <si>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</si>
  <si>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</si>
  <si>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</si>
  <si>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</si>
  <si>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</si>
  <si>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</si>
  <si>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</si>
  <si>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</si>
  <si>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</si>
  <si>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</si>
  <si>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</si>
  <si>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</si>
  <si>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</si>
  <si>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</si>
  <si>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</si>
  <si>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</si>
  <si>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</si>
  <si>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</si>
  <si>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</si>
  <si>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</si>
  <si>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</si>
  <si>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</si>
  <si>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</si>
  <si>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</si>
  <si>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</si>
  <si>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</si>
  <si>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</si>
  <si>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</si>
  <si>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</si>
  <si>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</si>
  <si>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</si>
  <si>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</si>
  <si>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</si>
  <si>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</si>
  <si>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</si>
  <si>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</si>
  <si>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</si>
  <si>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</si>
  <si>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</si>
  <si>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</si>
  <si>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</si>
  <si>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</si>
  <si>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</si>
  <si>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</si>
  <si>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</si>
  <si>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</si>
  <si>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</si>
  <si>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</si>
  <si>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</si>
  <si>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</si>
  <si>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</si>
  <si>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</si>
  <si>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</si>
  <si>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ISONIAZID</t>
  </si>
  <si>
    <t>I8-2</t>
  </si>
  <si>
    <t>NDQB201608087</t>
  </si>
  <si>
    <t xml:space="preserve">ISONIAZID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</si>
</sst>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1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2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5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3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5" fontId="6" fillId="2" borderId="0" xfId="0" applyNumberFormat="1" applyFont="1" applyFill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3" fillId="2" borderId="54" xfId="0" applyFont="1" applyFill="1" applyBorder="1" applyAlignment="1">
      <alignment horizontal="center" wrapText="1"/>
    </xf>
    <xf numFmtId="0" fontId="23" fillId="2" borderId="55" xfId="0" applyFont="1" applyFill="1" applyBorder="1" applyAlignment="1">
      <alignment horizontal="center" wrapText="1"/>
    </xf>
    <xf numFmtId="0" fontId="23" fillId="2" borderId="56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B51" sqref="B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7" t="s">
        <v>0</v>
      </c>
      <c r="B15" s="287"/>
      <c r="C15" s="287"/>
      <c r="D15" s="287"/>
      <c r="E15" s="2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</v>
      </c>
      <c r="C19" s="10"/>
      <c r="D19" s="10"/>
      <c r="E19" s="10"/>
    </row>
    <row r="20" spans="1:6" ht="16.5" customHeight="1" x14ac:dyDescent="0.3">
      <c r="A20" s="7" t="s">
        <v>8</v>
      </c>
      <c r="B20" s="12">
        <v>7.36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</f>
        <v>0.2944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12636805</v>
      </c>
      <c r="C24" s="18">
        <v>4968</v>
      </c>
      <c r="D24" s="19">
        <v>1.03</v>
      </c>
      <c r="E24" s="20">
        <v>4.66</v>
      </c>
    </row>
    <row r="25" spans="1:6" ht="16.5" customHeight="1" x14ac:dyDescent="0.3">
      <c r="A25" s="17">
        <v>2</v>
      </c>
      <c r="B25" s="18">
        <v>12695618</v>
      </c>
      <c r="C25" s="18">
        <v>5079.59</v>
      </c>
      <c r="D25" s="19">
        <v>1.04</v>
      </c>
      <c r="E25" s="19">
        <v>4.66</v>
      </c>
    </row>
    <row r="26" spans="1:6" ht="16.5" customHeight="1" x14ac:dyDescent="0.3">
      <c r="A26" s="17">
        <v>3</v>
      </c>
      <c r="B26" s="18">
        <v>13113886</v>
      </c>
      <c r="C26" s="18">
        <v>5334.44</v>
      </c>
      <c r="D26" s="19">
        <v>1.03</v>
      </c>
      <c r="E26" s="19">
        <v>4.66</v>
      </c>
    </row>
    <row r="27" spans="1:6" ht="16.5" customHeight="1" x14ac:dyDescent="0.3">
      <c r="A27" s="17">
        <v>4</v>
      </c>
      <c r="B27" s="18">
        <v>12656969</v>
      </c>
      <c r="C27" s="18">
        <v>5183.8</v>
      </c>
      <c r="D27" s="19">
        <v>1.04</v>
      </c>
      <c r="E27" s="19">
        <v>4.66</v>
      </c>
    </row>
    <row r="28" spans="1:6" ht="16.5" customHeight="1" x14ac:dyDescent="0.3">
      <c r="A28" s="17">
        <v>5</v>
      </c>
      <c r="B28" s="18">
        <v>12806505</v>
      </c>
      <c r="C28" s="18">
        <v>5272.13</v>
      </c>
      <c r="D28" s="19">
        <v>1.05</v>
      </c>
      <c r="E28" s="19">
        <v>4.66</v>
      </c>
    </row>
    <row r="29" spans="1:6" ht="16.5" customHeight="1" x14ac:dyDescent="0.3">
      <c r="A29" s="17">
        <v>6</v>
      </c>
      <c r="B29" s="21">
        <v>12512643</v>
      </c>
      <c r="C29" s="21">
        <v>5284.97</v>
      </c>
      <c r="D29" s="22">
        <v>1.04</v>
      </c>
      <c r="E29" s="22">
        <v>4.66</v>
      </c>
    </row>
    <row r="30" spans="1:6" ht="16.5" customHeight="1" x14ac:dyDescent="0.3">
      <c r="A30" s="23" t="s">
        <v>18</v>
      </c>
      <c r="B30" s="24">
        <f>AVERAGE(B24:B29)</f>
        <v>12737071</v>
      </c>
      <c r="C30" s="25">
        <f>AVERAGE(C24:C29)</f>
        <v>5187.1549999999997</v>
      </c>
      <c r="D30" s="26">
        <f>AVERAGE(D24:D29)</f>
        <v>1.0383333333333333</v>
      </c>
      <c r="E30" s="26">
        <f>AVERAGE(E24:E29)</f>
        <v>4.66</v>
      </c>
    </row>
    <row r="31" spans="1:6" ht="16.5" customHeight="1" x14ac:dyDescent="0.3">
      <c r="A31" s="27" t="s">
        <v>19</v>
      </c>
      <c r="B31" s="28">
        <f>(STDEV(B24:B29)/B30)</f>
        <v>1.6294254955693151E-2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260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8" t="s">
        <v>26</v>
      </c>
      <c r="C59" s="28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" zoomScale="37" zoomScaleNormal="40" zoomScalePageLayoutView="37" workbookViewId="0">
      <selection activeCell="D125" sqref="D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9" t="s">
        <v>31</v>
      </c>
      <c r="B1" s="289"/>
      <c r="C1" s="289"/>
      <c r="D1" s="289"/>
      <c r="E1" s="289"/>
      <c r="F1" s="289"/>
      <c r="G1" s="289"/>
      <c r="H1" s="289"/>
      <c r="I1" s="289"/>
    </row>
    <row r="2" spans="1:9" ht="18.75" customHeight="1" x14ac:dyDescent="0.25">
      <c r="A2" s="289"/>
      <c r="B2" s="289"/>
      <c r="C2" s="289"/>
      <c r="D2" s="289"/>
      <c r="E2" s="289"/>
      <c r="F2" s="289"/>
      <c r="G2" s="289"/>
      <c r="H2" s="289"/>
      <c r="I2" s="289"/>
    </row>
    <row r="3" spans="1:9" ht="18.75" customHeight="1" x14ac:dyDescent="0.25">
      <c r="A3" s="289"/>
      <c r="B3" s="289"/>
      <c r="C3" s="289"/>
      <c r="D3" s="289"/>
      <c r="E3" s="289"/>
      <c r="F3" s="289"/>
      <c r="G3" s="289"/>
      <c r="H3" s="289"/>
      <c r="I3" s="289"/>
    </row>
    <row r="4" spans="1:9" ht="18.75" customHeight="1" x14ac:dyDescent="0.25">
      <c r="A4" s="289"/>
      <c r="B4" s="289"/>
      <c r="C4" s="289"/>
      <c r="D4" s="289"/>
      <c r="E4" s="289"/>
      <c r="F4" s="289"/>
      <c r="G4" s="289"/>
      <c r="H4" s="289"/>
      <c r="I4" s="289"/>
    </row>
    <row r="5" spans="1:9" ht="18.75" customHeight="1" x14ac:dyDescent="0.25">
      <c r="A5" s="289"/>
      <c r="B5" s="289"/>
      <c r="C5" s="289"/>
      <c r="D5" s="289"/>
      <c r="E5" s="289"/>
      <c r="F5" s="289"/>
      <c r="G5" s="289"/>
      <c r="H5" s="289"/>
      <c r="I5" s="289"/>
    </row>
    <row r="6" spans="1:9" ht="18.75" customHeight="1" x14ac:dyDescent="0.25">
      <c r="A6" s="289"/>
      <c r="B6" s="289"/>
      <c r="C6" s="289"/>
      <c r="D6" s="289"/>
      <c r="E6" s="289"/>
      <c r="F6" s="289"/>
      <c r="G6" s="289"/>
      <c r="H6" s="289"/>
      <c r="I6" s="289"/>
    </row>
    <row r="7" spans="1:9" ht="18.75" customHeight="1" x14ac:dyDescent="0.25">
      <c r="A7" s="289"/>
      <c r="B7" s="289"/>
      <c r="C7" s="289"/>
      <c r="D7" s="289"/>
      <c r="E7" s="289"/>
      <c r="F7" s="289"/>
      <c r="G7" s="289"/>
      <c r="H7" s="289"/>
      <c r="I7" s="289"/>
    </row>
    <row r="8" spans="1:9" x14ac:dyDescent="0.25">
      <c r="A8" s="290" t="s">
        <v>32</v>
      </c>
      <c r="B8" s="290"/>
      <c r="C8" s="290"/>
      <c r="D8" s="290"/>
      <c r="E8" s="290"/>
      <c r="F8" s="290"/>
      <c r="G8" s="290"/>
      <c r="H8" s="290"/>
      <c r="I8" s="290"/>
    </row>
    <row r="9" spans="1:9" x14ac:dyDescent="0.25">
      <c r="A9" s="290"/>
      <c r="B9" s="290"/>
      <c r="C9" s="290"/>
      <c r="D9" s="290"/>
      <c r="E9" s="290"/>
      <c r="F9" s="290"/>
      <c r="G9" s="290"/>
      <c r="H9" s="290"/>
      <c r="I9" s="290"/>
    </row>
    <row r="10" spans="1:9" x14ac:dyDescent="0.25">
      <c r="A10" s="290"/>
      <c r="B10" s="290"/>
      <c r="C10" s="290"/>
      <c r="D10" s="290"/>
      <c r="E10" s="290"/>
      <c r="F10" s="290"/>
      <c r="G10" s="290"/>
      <c r="H10" s="290"/>
      <c r="I10" s="290"/>
    </row>
    <row r="11" spans="1:9" x14ac:dyDescent="0.25">
      <c r="A11" s="290"/>
      <c r="B11" s="290"/>
      <c r="C11" s="290"/>
      <c r="D11" s="290"/>
      <c r="E11" s="290"/>
      <c r="F11" s="290"/>
      <c r="G11" s="290"/>
      <c r="H11" s="290"/>
      <c r="I11" s="290"/>
    </row>
    <row r="12" spans="1:9" x14ac:dyDescent="0.25">
      <c r="A12" s="290"/>
      <c r="B12" s="290"/>
      <c r="C12" s="290"/>
      <c r="D12" s="290"/>
      <c r="E12" s="290"/>
      <c r="F12" s="290"/>
      <c r="G12" s="290"/>
      <c r="H12" s="290"/>
      <c r="I12" s="290"/>
    </row>
    <row r="13" spans="1:9" x14ac:dyDescent="0.25">
      <c r="A13" s="290"/>
      <c r="B13" s="290"/>
      <c r="C13" s="290"/>
      <c r="D13" s="290"/>
      <c r="E13" s="290"/>
      <c r="F13" s="290"/>
      <c r="G13" s="290"/>
      <c r="H13" s="290"/>
      <c r="I13" s="290"/>
    </row>
    <row r="14" spans="1:9" x14ac:dyDescent="0.25">
      <c r="A14" s="290"/>
      <c r="B14" s="290"/>
      <c r="C14" s="290"/>
      <c r="D14" s="290"/>
      <c r="E14" s="290"/>
      <c r="F14" s="290"/>
      <c r="G14" s="290"/>
      <c r="H14" s="290"/>
      <c r="I14" s="290"/>
    </row>
    <row r="15" spans="1:9" ht="19.5" customHeight="1" x14ac:dyDescent="0.3">
      <c r="A15" s="52"/>
    </row>
    <row r="16" spans="1:9" ht="19.5" customHeight="1" x14ac:dyDescent="0.3">
      <c r="A16" s="322" t="s">
        <v>33</v>
      </c>
      <c r="B16" s="323"/>
      <c r="C16" s="323"/>
      <c r="D16" s="323"/>
      <c r="E16" s="323"/>
      <c r="F16" s="323"/>
      <c r="G16" s="323"/>
      <c r="H16" s="324"/>
    </row>
    <row r="17" spans="1:14" ht="20.25" customHeight="1" x14ac:dyDescent="0.25">
      <c r="A17" s="325" t="s">
        <v>34</v>
      </c>
      <c r="B17" s="325"/>
      <c r="C17" s="325"/>
      <c r="D17" s="325"/>
      <c r="E17" s="325"/>
      <c r="F17" s="325"/>
      <c r="G17" s="325"/>
      <c r="H17" s="325"/>
    </row>
    <row r="18" spans="1:14" ht="26.25" customHeight="1" x14ac:dyDescent="0.4">
      <c r="A18" s="54" t="s">
        <v>35</v>
      </c>
      <c r="B18" s="321" t="s">
        <v>5</v>
      </c>
      <c r="C18" s="321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133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326" t="s">
        <v>9</v>
      </c>
      <c r="C20" s="326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326" t="s">
        <v>11</v>
      </c>
      <c r="C21" s="326"/>
      <c r="D21" s="326"/>
      <c r="E21" s="326"/>
      <c r="F21" s="326"/>
      <c r="G21" s="326"/>
      <c r="H21" s="326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321" t="s">
        <v>131</v>
      </c>
      <c r="C26" s="321"/>
    </row>
    <row r="27" spans="1:14" ht="26.25" customHeight="1" x14ac:dyDescent="0.4">
      <c r="A27" s="63" t="s">
        <v>41</v>
      </c>
      <c r="B27" s="327" t="s">
        <v>132</v>
      </c>
      <c r="C27" s="327"/>
    </row>
    <row r="28" spans="1:14" ht="27" customHeight="1" x14ac:dyDescent="0.4">
      <c r="A28" s="63" t="s">
        <v>6</v>
      </c>
      <c r="B28" s="64">
        <v>99.9</v>
      </c>
    </row>
    <row r="29" spans="1:14" s="14" customFormat="1" ht="27" customHeight="1" x14ac:dyDescent="0.4">
      <c r="A29" s="63" t="s">
        <v>42</v>
      </c>
      <c r="B29" s="65">
        <v>0</v>
      </c>
      <c r="C29" s="297" t="s">
        <v>43</v>
      </c>
      <c r="D29" s="298"/>
      <c r="E29" s="298"/>
      <c r="F29" s="298"/>
      <c r="G29" s="299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99.9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300" t="s">
        <v>46</v>
      </c>
      <c r="D31" s="301"/>
      <c r="E31" s="301"/>
      <c r="F31" s="301"/>
      <c r="G31" s="301"/>
      <c r="H31" s="302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300" t="s">
        <v>48</v>
      </c>
      <c r="D32" s="301"/>
      <c r="E32" s="301"/>
      <c r="F32" s="301"/>
      <c r="G32" s="301"/>
      <c r="H32" s="302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25</v>
      </c>
      <c r="C36" s="53"/>
      <c r="D36" s="303" t="s">
        <v>52</v>
      </c>
      <c r="E36" s="328"/>
      <c r="F36" s="303" t="s">
        <v>53</v>
      </c>
      <c r="G36" s="304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>
        <v>12863121</v>
      </c>
      <c r="E38" s="87">
        <f>IF(ISBLANK(D38),"-",$D$48/$D$45*D38)</f>
        <v>13995648.909779342</v>
      </c>
      <c r="F38" s="86">
        <v>15931905</v>
      </c>
      <c r="G38" s="88">
        <f>IF(ISBLANK(F38),"-",$D$48/$F$45*F38)</f>
        <v>14035514.061916703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>
        <v>12804975</v>
      </c>
      <c r="E39" s="92">
        <f>IF(ISBLANK(D39),"-",$D$48/$D$45*D39)</f>
        <v>13932383.470426947</v>
      </c>
      <c r="F39" s="91">
        <v>15866573</v>
      </c>
      <c r="G39" s="93">
        <f>IF(ISBLANK(F39),"-",$D$48/$F$45*F39)</f>
        <v>13977958.596660467</v>
      </c>
      <c r="I39" s="305">
        <f>ABS((F43/D43*D42)-F42)/D42</f>
        <v>8.1294322697365549E-3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>
        <v>13100863</v>
      </c>
      <c r="E40" s="92">
        <f>IF(ISBLANK(D40),"-",$D$48/$D$45*D40)</f>
        <v>14254322.801061928</v>
      </c>
      <c r="F40" s="91">
        <v>16398463</v>
      </c>
      <c r="G40" s="93">
        <f>IF(ISBLANK(F40),"-",$D$48/$F$45*F40)</f>
        <v>14446537.186251158</v>
      </c>
      <c r="I40" s="305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12922986.333333334</v>
      </c>
      <c r="E42" s="102">
        <f>AVERAGE(E38:E41)</f>
        <v>14060785.060422739</v>
      </c>
      <c r="F42" s="101">
        <f>AVERAGE(F38:F41)</f>
        <v>16065647</v>
      </c>
      <c r="G42" s="103">
        <f>AVERAGE(G38:G41)</f>
        <v>14153336.614942776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7.36</v>
      </c>
      <c r="E43" s="94"/>
      <c r="F43" s="106">
        <v>9.09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7.36</v>
      </c>
      <c r="E44" s="109"/>
      <c r="F44" s="108">
        <f>F43*$B$34</f>
        <v>9.09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25</v>
      </c>
      <c r="C45" s="107" t="s">
        <v>70</v>
      </c>
      <c r="D45" s="111">
        <f>D44*$B$30/100</f>
        <v>7.352640000000001</v>
      </c>
      <c r="E45" s="112"/>
      <c r="F45" s="111">
        <f>F44*$B$30/100</f>
        <v>9.0809099999999994</v>
      </c>
      <c r="H45" s="104"/>
    </row>
    <row r="46" spans="1:14" ht="19.5" customHeight="1" x14ac:dyDescent="0.3">
      <c r="A46" s="291" t="s">
        <v>71</v>
      </c>
      <c r="B46" s="292"/>
      <c r="C46" s="107" t="s">
        <v>72</v>
      </c>
      <c r="D46" s="113">
        <f>D45/$B$45</f>
        <v>0.29410560000000002</v>
      </c>
      <c r="E46" s="114"/>
      <c r="F46" s="115">
        <f>F45/$B$45</f>
        <v>0.36323639999999996</v>
      </c>
      <c r="H46" s="104"/>
    </row>
    <row r="47" spans="1:14" ht="27" customHeight="1" x14ac:dyDescent="0.4">
      <c r="A47" s="293"/>
      <c r="B47" s="294"/>
      <c r="C47" s="116" t="s">
        <v>73</v>
      </c>
      <c r="D47" s="117">
        <v>0.32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8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8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14107060.837682759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1.423535553452126E-2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tablet contains: Isoniazid BP 300 mg, Lactose and other excipients.</v>
      </c>
    </row>
    <row r="56" spans="1:12" ht="26.25" customHeight="1" x14ac:dyDescent="0.4">
      <c r="A56" s="131" t="s">
        <v>80</v>
      </c>
      <c r="B56" s="132">
        <v>300</v>
      </c>
      <c r="C56" s="53" t="str">
        <f>B20</f>
        <v>Isoniazid BP</v>
      </c>
      <c r="H56" s="133"/>
    </row>
    <row r="57" spans="1:12" ht="18.75" x14ac:dyDescent="0.3">
      <c r="A57" s="130" t="s">
        <v>81</v>
      </c>
      <c r="B57" s="201">
        <v>398.79750000000001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100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308" t="s">
        <v>87</v>
      </c>
      <c r="D60" s="311">
        <v>48.81</v>
      </c>
      <c r="E60" s="136">
        <v>1</v>
      </c>
      <c r="F60" s="137">
        <v>15728536</v>
      </c>
      <c r="G60" s="202">
        <f>IF(ISBLANK(F60),"-",(F60/$D$50*$D$47*$B$68)*($B$57/$D$60))</f>
        <v>291.50456430584558</v>
      </c>
      <c r="H60" s="220">
        <f t="shared" ref="H60:H71" si="0">IF(ISBLANK(F60),"-",(G60/$B$56)*100)</f>
        <v>97.16818810194853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309"/>
      <c r="D61" s="312"/>
      <c r="E61" s="138">
        <v>2</v>
      </c>
      <c r="F61" s="91">
        <v>15754290</v>
      </c>
      <c r="G61" s="203">
        <f>IF(ISBLANK(F61),"-",(F61/$D$50*$D$47*$B$68)*($B$57/$D$60))</f>
        <v>291.98187564296762</v>
      </c>
      <c r="H61" s="221">
        <f t="shared" si="0"/>
        <v>97.327291880989208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309"/>
      <c r="D62" s="312"/>
      <c r="E62" s="138">
        <v>3</v>
      </c>
      <c r="F62" s="139">
        <v>15794611</v>
      </c>
      <c r="G62" s="203">
        <f>IF(ISBLANK(F62),"-",(F62/$D$50*$D$47*$B$68)*($B$57/$D$60))</f>
        <v>292.72916423596678</v>
      </c>
      <c r="H62" s="221">
        <f t="shared" si="0"/>
        <v>97.576388078655597</v>
      </c>
      <c r="L62" s="66"/>
    </row>
    <row r="63" spans="1:12" ht="27" customHeight="1" x14ac:dyDescent="0.4">
      <c r="A63" s="78" t="s">
        <v>90</v>
      </c>
      <c r="B63" s="79">
        <v>1</v>
      </c>
      <c r="C63" s="318"/>
      <c r="D63" s="313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308" t="s">
        <v>92</v>
      </c>
      <c r="D64" s="311">
        <v>44.09</v>
      </c>
      <c r="E64" s="136">
        <v>1</v>
      </c>
      <c r="F64" s="137">
        <v>14032020</v>
      </c>
      <c r="G64" s="202">
        <f>IF(ISBLANK(F64),"-",(F64/$D$50*$D$47*$B$68)*($B$57/$D$64))</f>
        <v>287.9028488837501</v>
      </c>
      <c r="H64" s="220">
        <f t="shared" si="0"/>
        <v>95.967616294583365</v>
      </c>
    </row>
    <row r="65" spans="1:8" ht="26.25" customHeight="1" x14ac:dyDescent="0.4">
      <c r="A65" s="78" t="s">
        <v>93</v>
      </c>
      <c r="B65" s="79">
        <v>1</v>
      </c>
      <c r="C65" s="309"/>
      <c r="D65" s="312"/>
      <c r="E65" s="138">
        <v>2</v>
      </c>
      <c r="F65" s="91">
        <v>14006376</v>
      </c>
      <c r="G65" s="203">
        <f>IF(ISBLANK(F65),"-",(F65/$D$50*$D$47*$B$68)*($B$57/$D$64))</f>
        <v>287.37669650819942</v>
      </c>
      <c r="H65" s="221">
        <f t="shared" si="0"/>
        <v>95.79223216939981</v>
      </c>
    </row>
    <row r="66" spans="1:8" ht="26.25" customHeight="1" x14ac:dyDescent="0.4">
      <c r="A66" s="78" t="s">
        <v>94</v>
      </c>
      <c r="B66" s="79">
        <v>1</v>
      </c>
      <c r="C66" s="309"/>
      <c r="D66" s="312"/>
      <c r="E66" s="138">
        <v>3</v>
      </c>
      <c r="F66" s="91">
        <v>14465905</v>
      </c>
      <c r="G66" s="203">
        <f>IF(ISBLANK(F66),"-",(F66/$D$50*$D$47*$B$68)*($B$57/$D$64))</f>
        <v>296.80511153644915</v>
      </c>
      <c r="H66" s="221">
        <f t="shared" si="0"/>
        <v>98.935037178816387</v>
      </c>
    </row>
    <row r="67" spans="1:8" ht="27" customHeight="1" x14ac:dyDescent="0.4">
      <c r="A67" s="78" t="s">
        <v>95</v>
      </c>
      <c r="B67" s="79">
        <v>1</v>
      </c>
      <c r="C67" s="318"/>
      <c r="D67" s="313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100</v>
      </c>
      <c r="C68" s="308" t="s">
        <v>97</v>
      </c>
      <c r="D68" s="311">
        <v>41.5</v>
      </c>
      <c r="E68" s="136">
        <v>1</v>
      </c>
      <c r="F68" s="137">
        <v>13373505</v>
      </c>
      <c r="G68" s="202">
        <f>IF(ISBLANK(F68),"-",(F68/$D$50*$D$47*$B$68)*($B$57/$D$68))</f>
        <v>291.516414592942</v>
      </c>
      <c r="H68" s="221">
        <f t="shared" si="0"/>
        <v>97.172138197647328</v>
      </c>
    </row>
    <row r="69" spans="1:8" ht="27" customHeight="1" x14ac:dyDescent="0.4">
      <c r="A69" s="126" t="s">
        <v>98</v>
      </c>
      <c r="B69" s="143">
        <f>(D47*B68)/B56*B57</f>
        <v>42.538400000000003</v>
      </c>
      <c r="C69" s="309"/>
      <c r="D69" s="312"/>
      <c r="E69" s="138">
        <v>2</v>
      </c>
      <c r="F69" s="91">
        <v>13432860</v>
      </c>
      <c r="G69" s="203">
        <f>IF(ISBLANK(F69),"-",(F69/$D$50*$D$47*$B$68)*($B$57/$D$68))</f>
        <v>292.8102382231844</v>
      </c>
      <c r="H69" s="221">
        <f t="shared" si="0"/>
        <v>97.603412741061462</v>
      </c>
    </row>
    <row r="70" spans="1:8" ht="26.25" customHeight="1" x14ac:dyDescent="0.4">
      <c r="A70" s="314" t="s">
        <v>71</v>
      </c>
      <c r="B70" s="315"/>
      <c r="C70" s="309"/>
      <c r="D70" s="312"/>
      <c r="E70" s="138">
        <v>3</v>
      </c>
      <c r="F70" s="91">
        <v>13708338</v>
      </c>
      <c r="G70" s="203">
        <f>IF(ISBLANK(F70),"-",(F70/$D$50*$D$47*$B$68)*($B$57/$D$68))</f>
        <v>298.81512316989307</v>
      </c>
      <c r="H70" s="221">
        <f t="shared" si="0"/>
        <v>99.605041056631023</v>
      </c>
    </row>
    <row r="71" spans="1:8" ht="27" customHeight="1" x14ac:dyDescent="0.4">
      <c r="A71" s="316"/>
      <c r="B71" s="317"/>
      <c r="C71" s="310"/>
      <c r="D71" s="313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>
        <f>AVERAGE(G60:G71)</f>
        <v>292.38244856657758</v>
      </c>
      <c r="H72" s="223">
        <f>AVERAGE(H60:H71)</f>
        <v>97.460816188859198</v>
      </c>
    </row>
    <row r="73" spans="1:8" ht="26.25" customHeight="1" x14ac:dyDescent="0.4">
      <c r="C73" s="144"/>
      <c r="D73" s="144"/>
      <c r="E73" s="144"/>
      <c r="F73" s="147" t="s">
        <v>77</v>
      </c>
      <c r="G73" s="207">
        <f>STDEV(G60:G71)/G72</f>
        <v>1.2569327681531194E-2</v>
      </c>
      <c r="H73" s="207">
        <f>STDEV(H60:H71)/H72</f>
        <v>1.2569327681531194E-2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99</v>
      </c>
      <c r="B76" s="151" t="s">
        <v>100</v>
      </c>
      <c r="C76" s="295" t="str">
        <f>B26</f>
        <v>ISONIAZID</v>
      </c>
      <c r="D76" s="295"/>
      <c r="E76" s="152" t="s">
        <v>101</v>
      </c>
      <c r="F76" s="152"/>
      <c r="G76" s="153">
        <f>H72</f>
        <v>97.460816188859198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329" t="str">
        <f>B26</f>
        <v>ISONIAZID</v>
      </c>
      <c r="C79" s="329"/>
    </row>
    <row r="80" spans="1:8" ht="26.25" customHeight="1" x14ac:dyDescent="0.4">
      <c r="A80" s="63" t="s">
        <v>41</v>
      </c>
      <c r="B80" s="329" t="str">
        <f>B27</f>
        <v>I8-2</v>
      </c>
      <c r="C80" s="329"/>
    </row>
    <row r="81" spans="1:12" ht="27" customHeight="1" x14ac:dyDescent="0.4">
      <c r="A81" s="63" t="s">
        <v>6</v>
      </c>
      <c r="B81" s="155">
        <f>B28</f>
        <v>99.9</v>
      </c>
    </row>
    <row r="82" spans="1:12" s="14" customFormat="1" ht="27" customHeight="1" x14ac:dyDescent="0.4">
      <c r="A82" s="63" t="s">
        <v>42</v>
      </c>
      <c r="B82" s="65">
        <v>0</v>
      </c>
      <c r="C82" s="297" t="s">
        <v>43</v>
      </c>
      <c r="D82" s="298"/>
      <c r="E82" s="298"/>
      <c r="F82" s="298"/>
      <c r="G82" s="299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99.9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300" t="s">
        <v>104</v>
      </c>
      <c r="D84" s="301"/>
      <c r="E84" s="301"/>
      <c r="F84" s="301"/>
      <c r="G84" s="301"/>
      <c r="H84" s="302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300" t="s">
        <v>105</v>
      </c>
      <c r="D85" s="301"/>
      <c r="E85" s="301"/>
      <c r="F85" s="301"/>
      <c r="G85" s="301"/>
      <c r="H85" s="302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25</v>
      </c>
      <c r="D89" s="156" t="s">
        <v>52</v>
      </c>
      <c r="E89" s="157"/>
      <c r="F89" s="303" t="s">
        <v>53</v>
      </c>
      <c r="G89" s="304"/>
    </row>
    <row r="90" spans="1:12" ht="27" customHeight="1" x14ac:dyDescent="0.4">
      <c r="A90" s="78" t="s">
        <v>54</v>
      </c>
      <c r="B90" s="79">
        <v>10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100</v>
      </c>
      <c r="C91" s="160">
        <v>1</v>
      </c>
      <c r="D91" s="285">
        <v>0.54600000000000004</v>
      </c>
      <c r="E91" s="87">
        <f>IF(ISBLANK(D91),"-",$D$101/$D$98*D91)</f>
        <v>0.5010511061116123</v>
      </c>
      <c r="F91" s="285">
        <v>0.441</v>
      </c>
      <c r="G91" s="88">
        <f>IF(ISBLANK(F91),"-",$D$101/$F$98*F91)</f>
        <v>0.49982047264655954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286">
        <v>0.55100000000000005</v>
      </c>
      <c r="E92" s="92">
        <f>IF(ISBLANK(D92),"-",$D$101/$D$98*D92)</f>
        <v>0.50563948620420951</v>
      </c>
      <c r="F92" s="286">
        <v>0.442</v>
      </c>
      <c r="G92" s="93">
        <f>IF(ISBLANK(F92),"-",$D$101/$F$98*F92)</f>
        <v>0.50095385240312773</v>
      </c>
      <c r="I92" s="305">
        <f>ABS((F96/D96*D95)-F95)/D95</f>
        <v>7.129327756591081E-3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286">
        <v>0.54900000000000004</v>
      </c>
      <c r="E93" s="92">
        <f>IF(ISBLANK(D93),"-",$D$101/$D$98*D93)</f>
        <v>0.50380413416717063</v>
      </c>
      <c r="F93" s="286">
        <v>0.438</v>
      </c>
      <c r="G93" s="93">
        <f>IF(ISBLANK(F93),"-",$D$101/$F$98*F93)</f>
        <v>0.49642033337685509</v>
      </c>
      <c r="I93" s="305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>
        <f>AVERAGE(D91:D94)</f>
        <v>0.54866666666666664</v>
      </c>
      <c r="E95" s="102">
        <f>AVERAGE(E91:E94)</f>
        <v>0.50349824216099748</v>
      </c>
      <c r="F95" s="165">
        <f>AVERAGE(F91:F94)</f>
        <v>0.4403333333333333</v>
      </c>
      <c r="G95" s="166">
        <f>AVERAGE(G91:G94)</f>
        <v>0.49906488614218075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>
        <v>9.09</v>
      </c>
      <c r="E96" s="94"/>
      <c r="F96" s="106">
        <v>7.36</v>
      </c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9.09</v>
      </c>
      <c r="E97" s="109"/>
      <c r="F97" s="108">
        <f>F96*$B$87</f>
        <v>7.36</v>
      </c>
    </row>
    <row r="98" spans="1:10" ht="19.5" customHeight="1" x14ac:dyDescent="0.3">
      <c r="A98" s="78" t="s">
        <v>69</v>
      </c>
      <c r="B98" s="171">
        <f>(B97/B96)*(B95/B94)*(B93/B92)*(B91/B90)*B89</f>
        <v>250</v>
      </c>
      <c r="C98" s="169" t="s">
        <v>108</v>
      </c>
      <c r="D98" s="172">
        <f>D97*$B$83/100</f>
        <v>9.0809099999999994</v>
      </c>
      <c r="E98" s="112"/>
      <c r="F98" s="111">
        <f>F97*$B$83/100</f>
        <v>7.352640000000001</v>
      </c>
    </row>
    <row r="99" spans="1:10" ht="19.5" customHeight="1" x14ac:dyDescent="0.3">
      <c r="A99" s="291" t="s">
        <v>71</v>
      </c>
      <c r="B99" s="306"/>
      <c r="C99" s="169" t="s">
        <v>109</v>
      </c>
      <c r="D99" s="173">
        <f>D98/$B$98</f>
        <v>3.6323639999999997E-2</v>
      </c>
      <c r="E99" s="112"/>
      <c r="F99" s="115">
        <f>F98/$B$98</f>
        <v>2.9410560000000002E-2</v>
      </c>
      <c r="G99" s="174"/>
      <c r="H99" s="104"/>
    </row>
    <row r="100" spans="1:10" ht="19.5" customHeight="1" x14ac:dyDescent="0.3">
      <c r="A100" s="293"/>
      <c r="B100" s="307"/>
      <c r="C100" s="169" t="s">
        <v>73</v>
      </c>
      <c r="D100" s="175">
        <f>$B$56/$B$116</f>
        <v>3.3333333333333333E-2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8.3333333333333339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8.3333333333333339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>
        <f>AVERAGE(E91:E94,G91:G94)</f>
        <v>0.50128156415158909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>
        <f>STDEV(E91:E94,G91:G94)/D103</f>
        <v>6.3887292710037343E-3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900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5</v>
      </c>
      <c r="C108" s="229">
        <v>1</v>
      </c>
      <c r="D108" s="230">
        <v>0.47799999999999998</v>
      </c>
      <c r="E108" s="204">
        <f t="shared" ref="E108:E113" si="1">IF(ISBLANK(D108),"-",D108/$D$103*$D$100*$B$116)</f>
        <v>286.06677415456551</v>
      </c>
      <c r="F108" s="231">
        <f t="shared" ref="F108:F113" si="2">IF(ISBLANK(D108), "-", (E108/$B$56)*100)</f>
        <v>95.35559138485516</v>
      </c>
    </row>
    <row r="109" spans="1:10" ht="26.25" customHeight="1" x14ac:dyDescent="0.4">
      <c r="A109" s="78" t="s">
        <v>88</v>
      </c>
      <c r="B109" s="79">
        <v>50</v>
      </c>
      <c r="C109" s="225">
        <v>2</v>
      </c>
      <c r="D109" s="227">
        <v>0.47799999999999998</v>
      </c>
      <c r="E109" s="205">
        <f t="shared" si="1"/>
        <v>286.06677415456551</v>
      </c>
      <c r="F109" s="232">
        <f t="shared" si="2"/>
        <v>95.35559138485516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27">
        <v>0.47399999999999998</v>
      </c>
      <c r="E110" s="205">
        <f t="shared" si="1"/>
        <v>283.6729099356989</v>
      </c>
      <c r="F110" s="232">
        <f t="shared" si="2"/>
        <v>94.557636645232961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27">
        <v>0.47899999999999998</v>
      </c>
      <c r="E111" s="205">
        <f t="shared" si="1"/>
        <v>286.66524020928222</v>
      </c>
      <c r="F111" s="232">
        <f t="shared" si="2"/>
        <v>95.555080069760734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27">
        <v>0.48</v>
      </c>
      <c r="E112" s="205">
        <f t="shared" si="1"/>
        <v>287.26370626399887</v>
      </c>
      <c r="F112" s="232">
        <f t="shared" si="2"/>
        <v>95.754568754666295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28">
        <v>0.47699999999999998</v>
      </c>
      <c r="E113" s="206">
        <f t="shared" si="1"/>
        <v>285.46830809984885</v>
      </c>
      <c r="F113" s="233">
        <f t="shared" si="2"/>
        <v>95.156102699949614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>
        <f>AVERAGE(E108:E113)</f>
        <v>285.86728546965998</v>
      </c>
      <c r="F115" s="235">
        <f>AVERAGE(F108:F113)</f>
        <v>95.28909515655333</v>
      </c>
    </row>
    <row r="116" spans="1:10" ht="27" customHeight="1" x14ac:dyDescent="0.4">
      <c r="A116" s="78" t="s">
        <v>96</v>
      </c>
      <c r="B116" s="110">
        <f>(B115/B114)*(B113/B112)*(B111/B110)*(B109/B108)*B107</f>
        <v>9000</v>
      </c>
      <c r="C116" s="188"/>
      <c r="D116" s="212" t="s">
        <v>77</v>
      </c>
      <c r="E116" s="210">
        <f>STDEV(E108:E113)/E115</f>
        <v>4.3243359064423234E-3</v>
      </c>
      <c r="F116" s="189">
        <f>STDEV(F108:F113)/F115</f>
        <v>4.3243359064423408E-3</v>
      </c>
      <c r="I116" s="52"/>
    </row>
    <row r="117" spans="1:10" ht="27" customHeight="1" x14ac:dyDescent="0.4">
      <c r="A117" s="291" t="s">
        <v>71</v>
      </c>
      <c r="B117" s="292"/>
      <c r="C117" s="190"/>
      <c r="D117" s="149" t="s">
        <v>20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93"/>
      <c r="B118" s="294"/>
      <c r="C118" s="52"/>
      <c r="D118" s="214"/>
      <c r="E118" s="319" t="s">
        <v>116</v>
      </c>
      <c r="F118" s="320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283.6729099356989</v>
      </c>
      <c r="F119" s="236">
        <f>MIN(F108:F113)</f>
        <v>94.557636645232961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287.26370626399887</v>
      </c>
      <c r="F120" s="237">
        <f>MAX(F108:F113)</f>
        <v>95.754568754666295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295" t="str">
        <f>B26</f>
        <v>ISONIAZID</v>
      </c>
      <c r="D124" s="295"/>
      <c r="E124" s="152" t="s">
        <v>120</v>
      </c>
      <c r="F124" s="152"/>
      <c r="G124" s="238">
        <f>F115</f>
        <v>95.28909515655333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8">
        <f>MIN(F108:F113)</f>
        <v>94.557636645232961</v>
      </c>
      <c r="E125" s="163" t="s">
        <v>123</v>
      </c>
      <c r="F125" s="238">
        <f>MAX(F108:F113)</f>
        <v>95.754568754666295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96" t="s">
        <v>26</v>
      </c>
      <c r="C127" s="296"/>
      <c r="E127" s="158" t="s">
        <v>27</v>
      </c>
      <c r="F127" s="193"/>
      <c r="G127" s="296" t="s">
        <v>28</v>
      </c>
      <c r="H127" s="296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8" workbookViewId="0">
      <selection activeCell="D48" sqref="D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33" t="s">
        <v>33</v>
      </c>
      <c r="B11" s="334"/>
      <c r="C11" s="334"/>
      <c r="D11" s="334"/>
      <c r="E11" s="334"/>
      <c r="F11" s="335"/>
      <c r="G11" s="278"/>
    </row>
    <row r="12" spans="1:7" ht="16.5" customHeight="1" x14ac:dyDescent="0.3">
      <c r="A12" s="332" t="s">
        <v>124</v>
      </c>
      <c r="B12" s="332"/>
      <c r="C12" s="332"/>
      <c r="D12" s="332"/>
      <c r="E12" s="332"/>
      <c r="F12" s="332"/>
      <c r="G12" s="277"/>
    </row>
    <row r="14" spans="1:7" ht="16.5" customHeight="1" x14ac:dyDescent="0.3">
      <c r="A14" s="337" t="s">
        <v>35</v>
      </c>
      <c r="B14" s="337"/>
      <c r="C14" s="247" t="s">
        <v>5</v>
      </c>
    </row>
    <row r="15" spans="1:7" ht="16.5" customHeight="1" x14ac:dyDescent="0.3">
      <c r="A15" s="337" t="s">
        <v>36</v>
      </c>
      <c r="B15" s="337"/>
      <c r="C15" s="247" t="s">
        <v>7</v>
      </c>
    </row>
    <row r="16" spans="1:7" ht="16.5" customHeight="1" x14ac:dyDescent="0.3">
      <c r="A16" s="337" t="s">
        <v>37</v>
      </c>
      <c r="B16" s="337"/>
      <c r="C16" s="247" t="s">
        <v>9</v>
      </c>
    </row>
    <row r="17" spans="1:5" ht="16.5" customHeight="1" x14ac:dyDescent="0.3">
      <c r="A17" s="337" t="s">
        <v>38</v>
      </c>
      <c r="B17" s="337"/>
      <c r="C17" s="247" t="s">
        <v>11</v>
      </c>
    </row>
    <row r="18" spans="1:5" ht="16.5" customHeight="1" x14ac:dyDescent="0.3">
      <c r="A18" s="337" t="s">
        <v>39</v>
      </c>
      <c r="B18" s="337"/>
      <c r="C18" s="284" t="s">
        <v>12</v>
      </c>
    </row>
    <row r="19" spans="1:5" ht="16.5" customHeight="1" x14ac:dyDescent="0.3">
      <c r="A19" s="337" t="s">
        <v>40</v>
      </c>
      <c r="B19" s="337"/>
      <c r="C19" s="284" t="e">
        <f>#REF!</f>
        <v>#REF!</v>
      </c>
    </row>
    <row r="20" spans="1:5" ht="16.5" customHeight="1" x14ac:dyDescent="0.3">
      <c r="A20" s="249"/>
      <c r="B20" s="249"/>
      <c r="C20" s="264"/>
    </row>
    <row r="21" spans="1:5" ht="16.5" customHeight="1" x14ac:dyDescent="0.3">
      <c r="A21" s="332" t="s">
        <v>1</v>
      </c>
      <c r="B21" s="332"/>
      <c r="C21" s="246" t="s">
        <v>125</v>
      </c>
      <c r="D21" s="253"/>
    </row>
    <row r="22" spans="1:5" ht="15.75" customHeight="1" x14ac:dyDescent="0.3">
      <c r="A22" s="336"/>
      <c r="B22" s="336"/>
      <c r="C22" s="244"/>
      <c r="D22" s="336"/>
      <c r="E22" s="336"/>
    </row>
    <row r="23" spans="1:5" ht="33.75" customHeight="1" x14ac:dyDescent="0.3">
      <c r="C23" s="273" t="s">
        <v>126</v>
      </c>
      <c r="D23" s="272" t="s">
        <v>127</v>
      </c>
      <c r="E23" s="239"/>
    </row>
    <row r="24" spans="1:5" ht="15.75" customHeight="1" x14ac:dyDescent="0.3">
      <c r="C24" s="282">
        <v>406.24</v>
      </c>
      <c r="D24" s="274">
        <f t="shared" ref="D24:D43" si="0">(C24-$C$46)/$C$46</f>
        <v>1.8662353700813056E-2</v>
      </c>
      <c r="E24" s="240"/>
    </row>
    <row r="25" spans="1:5" ht="15.75" customHeight="1" x14ac:dyDescent="0.3">
      <c r="C25" s="282">
        <v>393.88</v>
      </c>
      <c r="D25" s="275">
        <f t="shared" si="0"/>
        <v>-1.2330819526200685E-2</v>
      </c>
      <c r="E25" s="240"/>
    </row>
    <row r="26" spans="1:5" ht="15.75" customHeight="1" x14ac:dyDescent="0.3">
      <c r="C26" s="282">
        <v>399.45</v>
      </c>
      <c r="D26" s="275">
        <f t="shared" si="0"/>
        <v>1.6361687322512678E-3</v>
      </c>
      <c r="E26" s="240"/>
    </row>
    <row r="27" spans="1:5" ht="15.75" customHeight="1" x14ac:dyDescent="0.3">
      <c r="C27" s="282">
        <v>400.01</v>
      </c>
      <c r="D27" s="275">
        <f t="shared" si="0"/>
        <v>3.0403901729573963E-3</v>
      </c>
      <c r="E27" s="240"/>
    </row>
    <row r="28" spans="1:5" ht="15.75" customHeight="1" x14ac:dyDescent="0.3">
      <c r="C28" s="282">
        <v>403.08</v>
      </c>
      <c r="D28" s="275">
        <f t="shared" si="0"/>
        <v>1.0738532713971303E-2</v>
      </c>
      <c r="E28" s="240"/>
    </row>
    <row r="29" spans="1:5" ht="15.75" customHeight="1" x14ac:dyDescent="0.3">
      <c r="C29" s="282">
        <v>392.58</v>
      </c>
      <c r="D29" s="275">
        <f t="shared" si="0"/>
        <v>-1.5590619299268499E-2</v>
      </c>
      <c r="E29" s="240"/>
    </row>
    <row r="30" spans="1:5" ht="15.75" customHeight="1" x14ac:dyDescent="0.3">
      <c r="C30" s="282">
        <v>394.5</v>
      </c>
      <c r="D30" s="275">
        <f t="shared" si="0"/>
        <v>-1.0776145788276039E-2</v>
      </c>
      <c r="E30" s="240"/>
    </row>
    <row r="31" spans="1:5" ht="15.75" customHeight="1" x14ac:dyDescent="0.3">
      <c r="C31" s="282">
        <v>404.22</v>
      </c>
      <c r="D31" s="275">
        <f t="shared" si="0"/>
        <v>1.359712636112316E-2</v>
      </c>
      <c r="E31" s="240"/>
    </row>
    <row r="32" spans="1:5" ht="15.75" customHeight="1" x14ac:dyDescent="0.3">
      <c r="C32" s="282">
        <v>400.56</v>
      </c>
      <c r="D32" s="275">
        <f t="shared" si="0"/>
        <v>4.4195362307937955E-3</v>
      </c>
      <c r="E32" s="240"/>
    </row>
    <row r="33" spans="1:7" ht="15.75" customHeight="1" x14ac:dyDescent="0.3">
      <c r="C33" s="282">
        <v>403.08</v>
      </c>
      <c r="D33" s="275">
        <f t="shared" si="0"/>
        <v>1.0738532713971303E-2</v>
      </c>
      <c r="E33" s="240"/>
    </row>
    <row r="34" spans="1:7" ht="15.75" customHeight="1" x14ac:dyDescent="0.3">
      <c r="C34" s="282">
        <v>401.96</v>
      </c>
      <c r="D34" s="275">
        <f t="shared" si="0"/>
        <v>7.9300898325590456E-3</v>
      </c>
      <c r="E34" s="240"/>
    </row>
    <row r="35" spans="1:7" ht="15.75" customHeight="1" x14ac:dyDescent="0.3">
      <c r="C35" s="282">
        <v>398.87</v>
      </c>
      <c r="D35" s="275">
        <f t="shared" si="0"/>
        <v>1.8179652580568059E-4</v>
      </c>
      <c r="E35" s="240"/>
    </row>
    <row r="36" spans="1:7" ht="15.75" customHeight="1" x14ac:dyDescent="0.3">
      <c r="C36" s="282">
        <v>386.28</v>
      </c>
      <c r="D36" s="275">
        <f t="shared" si="0"/>
        <v>-3.1388110507212408E-2</v>
      </c>
      <c r="E36" s="240"/>
    </row>
    <row r="37" spans="1:7" ht="15.75" customHeight="1" x14ac:dyDescent="0.3">
      <c r="C37" s="282">
        <v>399.84</v>
      </c>
      <c r="D37" s="275">
        <f t="shared" si="0"/>
        <v>2.6141086641715688E-3</v>
      </c>
      <c r="E37" s="240"/>
    </row>
    <row r="38" spans="1:7" ht="15.75" customHeight="1" x14ac:dyDescent="0.3">
      <c r="C38" s="282">
        <v>399.72</v>
      </c>
      <c r="D38" s="275">
        <f t="shared" si="0"/>
        <v>2.3132040697346739E-3</v>
      </c>
      <c r="E38" s="240"/>
    </row>
    <row r="39" spans="1:7" ht="15.75" customHeight="1" x14ac:dyDescent="0.3">
      <c r="C39" s="282">
        <v>395.87</v>
      </c>
      <c r="D39" s="275">
        <f t="shared" si="0"/>
        <v>-7.3408183351199767E-3</v>
      </c>
      <c r="E39" s="240"/>
    </row>
    <row r="40" spans="1:7" ht="15.75" customHeight="1" x14ac:dyDescent="0.3">
      <c r="C40" s="282">
        <v>402.01</v>
      </c>
      <c r="D40" s="275">
        <f t="shared" si="0"/>
        <v>8.0554667469078349E-3</v>
      </c>
      <c r="E40" s="240"/>
    </row>
    <row r="41" spans="1:7" ht="15.75" customHeight="1" x14ac:dyDescent="0.3">
      <c r="C41" s="282">
        <v>393.26</v>
      </c>
      <c r="D41" s="275">
        <f t="shared" si="0"/>
        <v>-1.3885493264125333E-2</v>
      </c>
      <c r="E41" s="240"/>
    </row>
    <row r="42" spans="1:7" ht="15.75" customHeight="1" x14ac:dyDescent="0.3">
      <c r="C42" s="282">
        <v>406.33</v>
      </c>
      <c r="D42" s="275">
        <f t="shared" si="0"/>
        <v>1.8888032146640765E-2</v>
      </c>
      <c r="E42" s="240"/>
    </row>
    <row r="43" spans="1:7" ht="16.5" customHeight="1" x14ac:dyDescent="0.3">
      <c r="C43" s="283">
        <v>394.21</v>
      </c>
      <c r="D43" s="276">
        <f t="shared" si="0"/>
        <v>-1.1503331891498903E-2</v>
      </c>
      <c r="E43" s="240"/>
    </row>
    <row r="44" spans="1:7" ht="16.5" customHeight="1" x14ac:dyDescent="0.3">
      <c r="C44" s="241"/>
      <c r="D44" s="240"/>
      <c r="E44" s="242"/>
    </row>
    <row r="45" spans="1:7" ht="16.5" customHeight="1" x14ac:dyDescent="0.3">
      <c r="B45" s="269" t="s">
        <v>128</v>
      </c>
      <c r="C45" s="270">
        <f>SUM(C24:C44)</f>
        <v>7975.95</v>
      </c>
      <c r="D45" s="265"/>
      <c r="E45" s="241"/>
    </row>
    <row r="46" spans="1:7" ht="17.25" customHeight="1" x14ac:dyDescent="0.3">
      <c r="B46" s="269" t="s">
        <v>129</v>
      </c>
      <c r="C46" s="271">
        <f>AVERAGE(C24:C44)</f>
        <v>398.79750000000001</v>
      </c>
      <c r="E46" s="243"/>
    </row>
    <row r="47" spans="1:7" ht="17.25" customHeight="1" x14ac:dyDescent="0.3">
      <c r="A47" s="247"/>
      <c r="B47" s="266"/>
      <c r="D47" s="245"/>
      <c r="E47" s="243"/>
    </row>
    <row r="48" spans="1:7" ht="33.75" customHeight="1" x14ac:dyDescent="0.3">
      <c r="B48" s="279" t="s">
        <v>129</v>
      </c>
      <c r="C48" s="272" t="s">
        <v>130</v>
      </c>
      <c r="D48" s="267"/>
      <c r="G48" s="245"/>
    </row>
    <row r="49" spans="1:6" ht="17.25" customHeight="1" x14ac:dyDescent="0.3">
      <c r="B49" s="330">
        <f>C46</f>
        <v>398.79750000000001</v>
      </c>
      <c r="C49" s="280">
        <f>-IF(C46&lt;=80,10%,IF(C46&lt;250,7.5%,5%))</f>
        <v>-0.05</v>
      </c>
      <c r="D49" s="268">
        <f>IF(C46&lt;=80,C46*0.9,IF(C46&lt;250,C46*0.925,C46*0.95))</f>
        <v>378.85762499999998</v>
      </c>
    </row>
    <row r="50" spans="1:6" ht="17.25" customHeight="1" x14ac:dyDescent="0.3">
      <c r="B50" s="331"/>
      <c r="C50" s="281">
        <f>IF(C46&lt;=80, 10%, IF(C46&lt;250, 7.5%, 5%))</f>
        <v>0.05</v>
      </c>
      <c r="D50" s="268">
        <f>IF(C46&lt;=80, C46*1.1, IF(C46&lt;250, C46*1.075, C46*1.05))</f>
        <v>418.73737500000004</v>
      </c>
    </row>
    <row r="51" spans="1:6" ht="16.5" customHeight="1" x14ac:dyDescent="0.3">
      <c r="A51" s="250"/>
      <c r="B51" s="251"/>
      <c r="C51" s="247"/>
      <c r="D51" s="252"/>
      <c r="E51" s="247"/>
      <c r="F51" s="253"/>
    </row>
    <row r="52" spans="1:6" ht="16.5" customHeight="1" x14ac:dyDescent="0.3">
      <c r="A52" s="247"/>
      <c r="B52" s="254" t="s">
        <v>26</v>
      </c>
      <c r="C52" s="254"/>
      <c r="D52" s="255" t="s">
        <v>27</v>
      </c>
      <c r="E52" s="256"/>
      <c r="F52" s="255" t="s">
        <v>28</v>
      </c>
    </row>
    <row r="53" spans="1:6" ht="34.5" customHeight="1" x14ac:dyDescent="0.3">
      <c r="A53" s="257" t="s">
        <v>29</v>
      </c>
      <c r="B53" s="258"/>
      <c r="C53" s="259"/>
      <c r="D53" s="258"/>
      <c r="E53" s="248"/>
      <c r="F53" s="260"/>
    </row>
    <row r="54" spans="1:6" ht="34.5" customHeight="1" x14ac:dyDescent="0.3">
      <c r="A54" s="257" t="s">
        <v>30</v>
      </c>
      <c r="B54" s="261"/>
      <c r="C54" s="262"/>
      <c r="D54" s="261"/>
      <c r="E54" s="248"/>
      <c r="F54" s="263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Isoniazid</vt:lpstr>
      <vt:lpstr>Uniformity</vt:lpstr>
      <vt:lpstr>Isoniazid!Print_Area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cp:lastPrinted>2016-09-15T04:58:02Z</cp:lastPrinted>
  <dcterms:created xsi:type="dcterms:W3CDTF">2005-07-05T10:19:27Z</dcterms:created>
  <dcterms:modified xsi:type="dcterms:W3CDTF">2016-09-15T05:01:55Z</dcterms:modified>
  <cp:category/>
</cp:coreProperties>
</file>