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4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4" i="3" l="1"/>
  <c r="B116" i="3"/>
  <c r="D100" i="3"/>
  <c r="B98" i="3"/>
  <c r="D101" i="3" s="1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F44" i="3" s="1"/>
  <c r="B30" i="3"/>
  <c r="C46" i="2"/>
  <c r="B57" i="3" s="1"/>
  <c r="C45" i="2"/>
  <c r="C19" i="2"/>
  <c r="I92" i="3" l="1"/>
  <c r="D97" i="3"/>
  <c r="I39" i="3"/>
  <c r="D44" i="3"/>
  <c r="D45" i="3" s="1"/>
  <c r="F45" i="3"/>
  <c r="G41" i="3" s="1"/>
  <c r="F99" i="3"/>
  <c r="G91" i="3"/>
  <c r="G94" i="3"/>
  <c r="B69" i="3"/>
  <c r="D98" i="3"/>
  <c r="D29" i="2"/>
  <c r="D37" i="2"/>
  <c r="C50" i="2"/>
  <c r="D26" i="2"/>
  <c r="D30" i="2"/>
  <c r="D34" i="2"/>
  <c r="D38" i="2"/>
  <c r="D42" i="2"/>
  <c r="B49" i="2"/>
  <c r="D50" i="2"/>
  <c r="D49" i="3"/>
  <c r="G93" i="3"/>
  <c r="D102" i="3"/>
  <c r="D25" i="2"/>
  <c r="D33" i="2"/>
  <c r="D41" i="2"/>
  <c r="D27" i="2"/>
  <c r="D31" i="2"/>
  <c r="D35" i="2"/>
  <c r="D39" i="2"/>
  <c r="D43" i="2"/>
  <c r="C49" i="2"/>
  <c r="G92" i="3"/>
  <c r="D24" i="2"/>
  <c r="D28" i="2"/>
  <c r="D32" i="2"/>
  <c r="D36" i="2"/>
  <c r="D40" i="2"/>
  <c r="D49" i="2"/>
  <c r="G95" i="3" l="1"/>
  <c r="F46" i="3"/>
  <c r="G39" i="3"/>
  <c r="G40" i="3"/>
  <c r="G38" i="3"/>
  <c r="D46" i="3"/>
  <c r="E40" i="3"/>
  <c r="E38" i="3"/>
  <c r="E39" i="3"/>
  <c r="E41" i="3"/>
  <c r="D99" i="3"/>
  <c r="E93" i="3"/>
  <c r="E91" i="3"/>
  <c r="E94" i="3"/>
  <c r="E92" i="3"/>
  <c r="G42" i="3" l="1"/>
  <c r="D52" i="3"/>
  <c r="D50" i="3"/>
  <c r="D51" i="3" s="1"/>
  <c r="E42" i="3"/>
  <c r="D103" i="3"/>
  <c r="E95" i="3"/>
  <c r="D105" i="3"/>
  <c r="G61" i="3" l="1"/>
  <c r="H61" i="3" s="1"/>
  <c r="G70" i="3"/>
  <c r="H70" i="3" s="1"/>
  <c r="G64" i="3"/>
  <c r="H64" i="3" s="1"/>
  <c r="G63" i="3"/>
  <c r="H63" i="3" s="1"/>
  <c r="G68" i="3"/>
  <c r="H68" i="3" s="1"/>
  <c r="G62" i="3"/>
  <c r="H62" i="3" s="1"/>
  <c r="G67" i="3"/>
  <c r="H67" i="3" s="1"/>
  <c r="G60" i="3"/>
  <c r="H60" i="3" s="1"/>
  <c r="G71" i="3"/>
  <c r="H71" i="3" s="1"/>
  <c r="G66" i="3"/>
  <c r="H66" i="3" s="1"/>
  <c r="G69" i="3"/>
  <c r="H69" i="3" s="1"/>
  <c r="G65" i="3"/>
  <c r="H65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H74" i="3"/>
  <c r="H72" i="3"/>
  <c r="G76" i="3" s="1"/>
  <c r="E120" i="3"/>
  <c r="E117" i="3"/>
  <c r="F108" i="3"/>
  <c r="E115" i="3"/>
  <c r="E116" i="3" s="1"/>
  <c r="E119" i="3"/>
  <c r="H73" i="3" l="1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<sst xmlns="http://schemas.openxmlformats.org/spreadsheetml/2006/main" count="237" uniqueCount="133">
  <si>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</si>
  <si>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</si>
  <si>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</si>
  <si>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</si>
  <si>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</si>
  <si>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</si>
  <si>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</si>
  <si>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NDQB201609106</t>
  </si>
  <si>
    <t>Weight (mg):</t>
  </si>
  <si>
    <t>Isoniazid BP</t>
  </si>
  <si>
    <t>Standard Conc (mg/mL):</t>
  </si>
  <si>
    <t>Each uncoated tablet contains: Isoniazid BP 300 mg.</t>
  </si>
  <si>
    <t>2016-09-21 13:26:20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</si>
  <si>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</si>
  <si>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</si>
  <si>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</si>
  <si>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</si>
  <si>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</si>
  <si>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</si>
  <si>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</si>
  <si>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</si>
  <si>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</si>
  <si>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</si>
  <si>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</si>
  <si>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</si>
  <si>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</si>
  <si>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</si>
  <si>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</si>
  <si>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</si>
  <si>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</si>
  <si>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</si>
  <si>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</si>
  <si>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</si>
  <si>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</si>
  <si>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</si>
  <si>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</si>
  <si>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</si>
  <si>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</si>
  <si>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</si>
  <si>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</si>
  <si>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</si>
  <si>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</si>
  <si>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</si>
  <si>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</si>
  <si>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</si>
  <si>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</si>
  <si>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</si>
  <si>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</si>
  <si>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</si>
  <si>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</si>
  <si>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</si>
  <si>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</si>
  <si>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</si>
  <si>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</si>
  <si>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</si>
  <si>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</si>
  <si>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</si>
  <si>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</si>
  <si>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</si>
  <si>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</si>
  <si>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</si>
  <si>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</si>
  <si>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</si>
  <si>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</si>
  <si>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</si>
  <si>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</si>
  <si>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</si>
  <si>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</si>
  <si>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</si>
  <si>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</si>
  <si>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</si>
  <si>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</si>
  <si>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</si>
  <si>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</si>
  <si>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</si>
  <si>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</si>
  <si>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</si>
  <si>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</si>
  <si>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</si>
  <si>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</si>
  <si>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</si>
  <si>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</si>
  <si>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</si>
  <si>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</si>
  <si>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</si>
  <si>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</si>
  <si>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</si>
  <si>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</si>
  <si>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</si>
  <si>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</si>
  <si>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</si>
  <si>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</si>
  <si>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</si>
  <si>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</si>
  <si>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</si>
  <si>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</si>
  <si>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</si>
  <si>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</si>
  <si>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</si>
  <si>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</si>
  <si>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</si>
  <si>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</si>
  <si>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</si>
  <si>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</si>
  <si>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</si>
  <si>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</si>
  <si>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</si>
  <si>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</si>
  <si>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</si>
  <si>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</si>
  <si>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</si>
  <si>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</si>
  <si>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</si>
  <si>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</si>
  <si>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</si>
  <si>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</si>
  <si>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</si>
  <si>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</si>
  <si>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</si>
  <si>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</si>
  <si>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</si>
  <si>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</si>
  <si>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</si>
  <si>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</si>
  <si>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</si>
  <si>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</si>
  <si>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</si>
  <si>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</si>
  <si>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</si>
  <si>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</si>
  <si>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</si>
  <si>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</si>
  <si>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I8-3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</si>
</sst>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A15" sqref="A15:G62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4" width="25.85546875" style="238" customWidth="1"/>
    <col min="5" max="5" width="25.7109375" style="238" customWidth="1"/>
    <col min="6" max="6" width="23.140625" style="238" customWidth="1"/>
    <col min="7" max="7" width="28.42578125" style="238" customWidth="1"/>
    <col min="8" max="8" width="21.5703125" style="238" customWidth="1"/>
    <col min="9" max="9" width="9.140625" style="238" customWidth="1"/>
    <col min="10" max="16384" width="9.140625" style="240"/>
  </cols>
  <sheetData>
    <row r="14" spans="1:6" ht="15" customHeight="1" x14ac:dyDescent="0.3">
      <c r="A14" s="237"/>
      <c r="C14" s="239"/>
      <c r="F14" s="239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241" t="s">
        <v>1</v>
      </c>
      <c r="B16" s="242" t="s">
        <v>2</v>
      </c>
    </row>
    <row r="17" spans="1:5" ht="16.5" customHeight="1" x14ac:dyDescent="0.3">
      <c r="A17" s="243" t="s">
        <v>3</v>
      </c>
      <c r="B17" s="243" t="s">
        <v>5</v>
      </c>
      <c r="D17" s="244"/>
      <c r="E17" s="245"/>
    </row>
    <row r="18" spans="1:5" ht="16.5" customHeight="1" x14ac:dyDescent="0.3">
      <c r="A18" s="246" t="s">
        <v>4</v>
      </c>
      <c r="B18" s="238" t="s">
        <v>131</v>
      </c>
      <c r="C18" s="245"/>
      <c r="D18" s="245"/>
      <c r="E18" s="245"/>
    </row>
    <row r="19" spans="1:5" ht="16.5" customHeight="1" x14ac:dyDescent="0.3">
      <c r="A19" s="246" t="s">
        <v>6</v>
      </c>
      <c r="B19" s="247">
        <v>99.9</v>
      </c>
      <c r="C19" s="245"/>
      <c r="D19" s="245"/>
      <c r="E19" s="245"/>
    </row>
    <row r="20" spans="1:5" ht="16.5" customHeight="1" x14ac:dyDescent="0.3">
      <c r="A20" s="243" t="s">
        <v>8</v>
      </c>
      <c r="B20" s="247">
        <v>5.66</v>
      </c>
      <c r="C20" s="245"/>
      <c r="D20" s="245"/>
      <c r="E20" s="245"/>
    </row>
    <row r="21" spans="1:5" ht="16.5" customHeight="1" x14ac:dyDescent="0.3">
      <c r="A21" s="243" t="s">
        <v>10</v>
      </c>
      <c r="B21" s="248">
        <f>B20/10</f>
        <v>0.56600000000000006</v>
      </c>
      <c r="C21" s="245"/>
      <c r="D21" s="245"/>
      <c r="E21" s="245"/>
    </row>
    <row r="22" spans="1:5" ht="15.75" customHeight="1" x14ac:dyDescent="0.25">
      <c r="A22" s="245"/>
      <c r="B22" s="249">
        <v>42646.559953703705</v>
      </c>
      <c r="C22" s="245"/>
      <c r="D22" s="245"/>
      <c r="E22" s="245"/>
    </row>
    <row r="23" spans="1:5" ht="16.5" customHeight="1" x14ac:dyDescent="0.3">
      <c r="A23" s="250" t="s">
        <v>13</v>
      </c>
      <c r="B23" s="251" t="s">
        <v>14</v>
      </c>
      <c r="C23" s="250" t="s">
        <v>15</v>
      </c>
      <c r="D23" s="250" t="s">
        <v>16</v>
      </c>
      <c r="E23" s="250" t="s">
        <v>17</v>
      </c>
    </row>
    <row r="24" spans="1:5" ht="16.5" customHeight="1" x14ac:dyDescent="0.3">
      <c r="A24" s="252">
        <v>1</v>
      </c>
      <c r="B24" s="253">
        <v>32164062</v>
      </c>
      <c r="C24" s="253">
        <v>2248.1999999999998</v>
      </c>
      <c r="D24" s="254">
        <v>1.5</v>
      </c>
      <c r="E24" s="255">
        <v>1.5</v>
      </c>
    </row>
    <row r="25" spans="1:5" ht="16.5" customHeight="1" x14ac:dyDescent="0.3">
      <c r="A25" s="252">
        <v>2</v>
      </c>
      <c r="B25" s="253">
        <v>32365725</v>
      </c>
      <c r="C25" s="253">
        <v>2225.8000000000002</v>
      </c>
      <c r="D25" s="254">
        <v>1.6</v>
      </c>
      <c r="E25" s="254">
        <v>1.5</v>
      </c>
    </row>
    <row r="26" spans="1:5" ht="16.5" customHeight="1" x14ac:dyDescent="0.3">
      <c r="A26" s="252">
        <v>3</v>
      </c>
      <c r="B26" s="253">
        <v>32201290</v>
      </c>
      <c r="C26" s="253">
        <v>2223.9</v>
      </c>
      <c r="D26" s="254">
        <v>1.6</v>
      </c>
      <c r="E26" s="254">
        <v>1.5</v>
      </c>
    </row>
    <row r="27" spans="1:5" ht="16.5" customHeight="1" x14ac:dyDescent="0.3">
      <c r="A27" s="252">
        <v>4</v>
      </c>
      <c r="B27" s="253">
        <v>32397244</v>
      </c>
      <c r="C27" s="253">
        <v>2209.3000000000002</v>
      </c>
      <c r="D27" s="254">
        <v>1.6</v>
      </c>
      <c r="E27" s="254">
        <v>1.5</v>
      </c>
    </row>
    <row r="28" spans="1:5" ht="16.5" customHeight="1" x14ac:dyDescent="0.3">
      <c r="A28" s="252">
        <v>5</v>
      </c>
      <c r="B28" s="253">
        <v>32351417</v>
      </c>
      <c r="C28" s="253">
        <v>2228.3000000000002</v>
      </c>
      <c r="D28" s="254">
        <v>1.6</v>
      </c>
      <c r="E28" s="254">
        <v>1.5</v>
      </c>
    </row>
    <row r="29" spans="1:5" ht="16.5" customHeight="1" x14ac:dyDescent="0.3">
      <c r="A29" s="252">
        <v>6</v>
      </c>
      <c r="B29" s="256">
        <v>32296440</v>
      </c>
      <c r="C29" s="256">
        <v>2223.9</v>
      </c>
      <c r="D29" s="257">
        <v>1.6</v>
      </c>
      <c r="E29" s="257">
        <v>1.5</v>
      </c>
    </row>
    <row r="30" spans="1:5" ht="16.5" customHeight="1" x14ac:dyDescent="0.3">
      <c r="A30" s="258" t="s">
        <v>18</v>
      </c>
      <c r="B30" s="259">
        <f>AVERAGE(B24:B29)</f>
        <v>32296029.666666668</v>
      </c>
      <c r="C30" s="260">
        <f>AVERAGE(C24:C29)</f>
        <v>2226.5666666666666</v>
      </c>
      <c r="D30" s="261">
        <f>AVERAGE(D24:D29)</f>
        <v>1.5833333333333333</v>
      </c>
      <c r="E30" s="261">
        <f>AVERAGE(E24:E29)</f>
        <v>1.5</v>
      </c>
    </row>
    <row r="31" spans="1:5" ht="16.5" customHeight="1" x14ac:dyDescent="0.3">
      <c r="A31" s="262" t="s">
        <v>19</v>
      </c>
      <c r="B31" s="263">
        <f>(STDEV(B24:B29)/B30)</f>
        <v>2.9230902998741612E-3</v>
      </c>
      <c r="C31" s="264"/>
      <c r="D31" s="264"/>
      <c r="E31" s="265"/>
    </row>
    <row r="32" spans="1:5" s="238" customFormat="1" ht="16.5" customHeight="1" x14ac:dyDescent="0.3">
      <c r="A32" s="266" t="s">
        <v>20</v>
      </c>
      <c r="B32" s="267">
        <f>COUNT(B24:B29)</f>
        <v>6</v>
      </c>
      <c r="C32" s="268"/>
      <c r="D32" s="269"/>
      <c r="E32" s="270"/>
    </row>
    <row r="33" spans="1:5" s="238" customFormat="1" ht="15.75" customHeight="1" x14ac:dyDescent="0.25">
      <c r="A33" s="245"/>
      <c r="B33" s="245"/>
      <c r="C33" s="245"/>
      <c r="D33" s="245"/>
      <c r="E33" s="245"/>
    </row>
    <row r="34" spans="1:5" s="238" customFormat="1" ht="16.5" customHeight="1" x14ac:dyDescent="0.3">
      <c r="A34" s="246" t="s">
        <v>21</v>
      </c>
      <c r="B34" s="271" t="s">
        <v>22</v>
      </c>
      <c r="C34" s="272"/>
      <c r="D34" s="272"/>
      <c r="E34" s="272"/>
    </row>
    <row r="35" spans="1:5" ht="16.5" customHeight="1" x14ac:dyDescent="0.3">
      <c r="A35" s="246"/>
      <c r="B35" s="271" t="s">
        <v>23</v>
      </c>
      <c r="C35" s="272"/>
      <c r="D35" s="272"/>
      <c r="E35" s="272"/>
    </row>
    <row r="36" spans="1:5" ht="16.5" customHeight="1" x14ac:dyDescent="0.3">
      <c r="A36" s="246"/>
      <c r="B36" s="271" t="s">
        <v>24</v>
      </c>
      <c r="C36" s="272"/>
      <c r="D36" s="272"/>
      <c r="E36" s="272"/>
    </row>
    <row r="37" spans="1:5" ht="15.75" customHeight="1" x14ac:dyDescent="0.25">
      <c r="A37" s="245"/>
      <c r="B37" s="245"/>
      <c r="C37" s="245"/>
      <c r="D37" s="245"/>
      <c r="E37" s="245"/>
    </row>
    <row r="38" spans="1:5" ht="16.5" customHeight="1" x14ac:dyDescent="0.3">
      <c r="A38" s="241" t="s">
        <v>1</v>
      </c>
      <c r="B38" s="242" t="s">
        <v>25</v>
      </c>
    </row>
    <row r="39" spans="1:5" ht="16.5" customHeight="1" x14ac:dyDescent="0.3">
      <c r="A39" s="246" t="s">
        <v>4</v>
      </c>
      <c r="B39" s="243"/>
      <c r="C39" s="245"/>
      <c r="D39" s="245"/>
      <c r="E39" s="245"/>
    </row>
    <row r="40" spans="1:5" ht="16.5" customHeight="1" x14ac:dyDescent="0.3">
      <c r="A40" s="246" t="s">
        <v>6</v>
      </c>
      <c r="B40" s="247"/>
      <c r="C40" s="245"/>
      <c r="D40" s="245"/>
      <c r="E40" s="245"/>
    </row>
    <row r="41" spans="1:5" ht="16.5" customHeight="1" x14ac:dyDescent="0.3">
      <c r="A41" s="243" t="s">
        <v>8</v>
      </c>
      <c r="B41" s="247"/>
      <c r="C41" s="245"/>
      <c r="D41" s="245"/>
      <c r="E41" s="245"/>
    </row>
    <row r="42" spans="1:5" ht="16.5" customHeight="1" x14ac:dyDescent="0.3">
      <c r="A42" s="243" t="s">
        <v>10</v>
      </c>
      <c r="B42" s="248"/>
      <c r="C42" s="245"/>
      <c r="D42" s="245"/>
      <c r="E42" s="245"/>
    </row>
    <row r="43" spans="1:5" ht="15.75" customHeight="1" x14ac:dyDescent="0.25">
      <c r="A43" s="245"/>
      <c r="B43" s="245"/>
      <c r="C43" s="245"/>
      <c r="D43" s="245"/>
      <c r="E43" s="245"/>
    </row>
    <row r="44" spans="1:5" ht="16.5" customHeight="1" x14ac:dyDescent="0.3">
      <c r="A44" s="250" t="s">
        <v>13</v>
      </c>
      <c r="B44" s="251" t="s">
        <v>14</v>
      </c>
      <c r="C44" s="250" t="s">
        <v>15</v>
      </c>
      <c r="D44" s="250" t="s">
        <v>16</v>
      </c>
      <c r="E44" s="250" t="s">
        <v>17</v>
      </c>
    </row>
    <row r="45" spans="1:5" ht="16.5" customHeight="1" x14ac:dyDescent="0.3">
      <c r="A45" s="252">
        <v>1</v>
      </c>
      <c r="B45" s="253"/>
      <c r="C45" s="253"/>
      <c r="D45" s="254"/>
      <c r="E45" s="255"/>
    </row>
    <row r="46" spans="1:5" ht="16.5" customHeight="1" x14ac:dyDescent="0.3">
      <c r="A46" s="252">
        <v>2</v>
      </c>
      <c r="B46" s="253"/>
      <c r="C46" s="253"/>
      <c r="D46" s="254"/>
      <c r="E46" s="254"/>
    </row>
    <row r="47" spans="1:5" ht="16.5" customHeight="1" x14ac:dyDescent="0.3">
      <c r="A47" s="252">
        <v>3</v>
      </c>
      <c r="B47" s="253"/>
      <c r="C47" s="253"/>
      <c r="D47" s="254"/>
      <c r="E47" s="254"/>
    </row>
    <row r="48" spans="1:5" ht="16.5" customHeight="1" x14ac:dyDescent="0.3">
      <c r="A48" s="252">
        <v>4</v>
      </c>
      <c r="B48" s="253"/>
      <c r="C48" s="253"/>
      <c r="D48" s="254"/>
      <c r="E48" s="254"/>
    </row>
    <row r="49" spans="1:7" ht="16.5" customHeight="1" x14ac:dyDescent="0.3">
      <c r="A49" s="252">
        <v>5</v>
      </c>
      <c r="B49" s="253"/>
      <c r="C49" s="253"/>
      <c r="D49" s="254"/>
      <c r="E49" s="254"/>
    </row>
    <row r="50" spans="1:7" ht="16.5" customHeight="1" x14ac:dyDescent="0.3">
      <c r="A50" s="252">
        <v>6</v>
      </c>
      <c r="B50" s="256"/>
      <c r="C50" s="256"/>
      <c r="D50" s="257"/>
      <c r="E50" s="257"/>
    </row>
    <row r="51" spans="1:7" ht="16.5" customHeight="1" x14ac:dyDescent="0.3">
      <c r="A51" s="258" t="s">
        <v>18</v>
      </c>
      <c r="B51" s="259" t="e">
        <f>AVERAGE(B45:B50)</f>
        <v>#DIV/0!</v>
      </c>
      <c r="C51" s="260" t="e">
        <f>AVERAGE(C45:C50)</f>
        <v>#DIV/0!</v>
      </c>
      <c r="D51" s="261" t="e">
        <f>AVERAGE(D45:D50)</f>
        <v>#DIV/0!</v>
      </c>
      <c r="E51" s="261" t="e">
        <f>AVERAGE(E45:E50)</f>
        <v>#DIV/0!</v>
      </c>
    </row>
    <row r="52" spans="1:7" ht="16.5" customHeight="1" x14ac:dyDescent="0.3">
      <c r="A52" s="262" t="s">
        <v>19</v>
      </c>
      <c r="B52" s="263" t="e">
        <f>(STDEV(B45:B50)/B51)</f>
        <v>#DIV/0!</v>
      </c>
      <c r="C52" s="264"/>
      <c r="D52" s="264"/>
      <c r="E52" s="265"/>
    </row>
    <row r="53" spans="1:7" s="238" customFormat="1" ht="16.5" customHeight="1" x14ac:dyDescent="0.3">
      <c r="A53" s="266" t="s">
        <v>20</v>
      </c>
      <c r="B53" s="267">
        <f>COUNT(B45:B50)</f>
        <v>0</v>
      </c>
      <c r="C53" s="268"/>
      <c r="D53" s="269"/>
      <c r="E53" s="270"/>
    </row>
    <row r="54" spans="1:7" s="238" customFormat="1" ht="15.75" customHeight="1" x14ac:dyDescent="0.25">
      <c r="A54" s="245"/>
      <c r="B54" s="245"/>
      <c r="C54" s="245"/>
      <c r="D54" s="245"/>
      <c r="E54" s="245"/>
    </row>
    <row r="55" spans="1:7" s="238" customFormat="1" ht="16.5" customHeight="1" x14ac:dyDescent="0.3">
      <c r="A55" s="246" t="s">
        <v>21</v>
      </c>
      <c r="B55" s="271" t="s">
        <v>22</v>
      </c>
      <c r="C55" s="272"/>
      <c r="D55" s="272"/>
      <c r="E55" s="272"/>
    </row>
    <row r="56" spans="1:7" ht="16.5" customHeight="1" x14ac:dyDescent="0.3">
      <c r="A56" s="246"/>
      <c r="B56" s="271" t="s">
        <v>23</v>
      </c>
      <c r="C56" s="272"/>
      <c r="D56" s="272"/>
      <c r="E56" s="272"/>
    </row>
    <row r="57" spans="1:7" ht="16.5" customHeight="1" x14ac:dyDescent="0.3">
      <c r="A57" s="246"/>
      <c r="B57" s="271" t="s">
        <v>24</v>
      </c>
      <c r="C57" s="272"/>
      <c r="D57" s="272"/>
      <c r="E57" s="272"/>
    </row>
    <row r="58" spans="1:7" ht="14.25" customHeight="1" thickBot="1" x14ac:dyDescent="0.3">
      <c r="A58" s="273"/>
      <c r="B58" s="274"/>
      <c r="D58" s="275"/>
      <c r="F58" s="240"/>
      <c r="G58" s="240"/>
    </row>
    <row r="59" spans="1:7" ht="15" customHeight="1" x14ac:dyDescent="0.3">
      <c r="B59" s="283" t="s">
        <v>26</v>
      </c>
      <c r="C59" s="283"/>
      <c r="E59" s="276" t="s">
        <v>27</v>
      </c>
      <c r="F59" s="277"/>
      <c r="G59" s="276" t="s">
        <v>28</v>
      </c>
    </row>
    <row r="60" spans="1:7" ht="15" customHeight="1" x14ac:dyDescent="0.3">
      <c r="A60" s="278" t="s">
        <v>29</v>
      </c>
      <c r="B60" s="279"/>
      <c r="C60" s="279"/>
      <c r="E60" s="279"/>
      <c r="G60" s="279"/>
    </row>
    <row r="61" spans="1:7" ht="15" customHeight="1" x14ac:dyDescent="0.3">
      <c r="A61" s="278" t="s">
        <v>30</v>
      </c>
      <c r="B61" s="280"/>
      <c r="C61" s="280"/>
      <c r="E61" s="280"/>
      <c r="G61" s="28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43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42"/>
    </row>
    <row r="14" spans="1:7" ht="16.5" customHeight="1" x14ac:dyDescent="0.3">
      <c r="A14" s="291" t="s">
        <v>33</v>
      </c>
      <c r="B14" s="291"/>
      <c r="C14" s="12" t="s">
        <v>5</v>
      </c>
    </row>
    <row r="15" spans="1:7" ht="16.5" customHeight="1" x14ac:dyDescent="0.3">
      <c r="A15" s="291" t="s">
        <v>34</v>
      </c>
      <c r="B15" s="291"/>
      <c r="C15" s="12" t="s">
        <v>7</v>
      </c>
    </row>
    <row r="16" spans="1:7" ht="16.5" customHeight="1" x14ac:dyDescent="0.3">
      <c r="A16" s="291" t="s">
        <v>35</v>
      </c>
      <c r="B16" s="291"/>
      <c r="C16" s="12" t="s">
        <v>9</v>
      </c>
    </row>
    <row r="17" spans="1:5" ht="16.5" customHeight="1" x14ac:dyDescent="0.3">
      <c r="A17" s="291" t="s">
        <v>36</v>
      </c>
      <c r="B17" s="291"/>
      <c r="C17" s="12" t="s">
        <v>11</v>
      </c>
    </row>
    <row r="18" spans="1:5" ht="16.5" customHeight="1" x14ac:dyDescent="0.3">
      <c r="A18" s="291" t="s">
        <v>37</v>
      </c>
      <c r="B18" s="291"/>
      <c r="C18" s="49" t="s">
        <v>12</v>
      </c>
    </row>
    <row r="19" spans="1:5" ht="16.5" customHeight="1" x14ac:dyDescent="0.3">
      <c r="A19" s="291" t="s">
        <v>38</v>
      </c>
      <c r="B19" s="29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6" t="s">
        <v>1</v>
      </c>
      <c r="B21" s="286"/>
      <c r="C21" s="11" t="s">
        <v>39</v>
      </c>
      <c r="D21" s="18"/>
    </row>
    <row r="22" spans="1:5" ht="15.75" customHeight="1" x14ac:dyDescent="0.3">
      <c r="A22" s="290"/>
      <c r="B22" s="290"/>
      <c r="C22" s="9"/>
      <c r="D22" s="290"/>
      <c r="E22" s="29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394.22</v>
      </c>
      <c r="D24" s="39">
        <f t="shared" ref="D24:D43" si="0">(C24-$C$46)/$C$46</f>
        <v>-8.0818857062338531E-3</v>
      </c>
      <c r="E24" s="5"/>
    </row>
    <row r="25" spans="1:5" ht="15.75" customHeight="1" x14ac:dyDescent="0.3">
      <c r="C25" s="47">
        <v>398.03</v>
      </c>
      <c r="D25" s="40">
        <f t="shared" si="0"/>
        <v>1.5046599166650225E-3</v>
      </c>
      <c r="E25" s="5"/>
    </row>
    <row r="26" spans="1:5" ht="15.75" customHeight="1" x14ac:dyDescent="0.3">
      <c r="C26" s="47">
        <v>394.54</v>
      </c>
      <c r="D26" s="40">
        <f t="shared" si="0"/>
        <v>-7.2767165200586246E-3</v>
      </c>
      <c r="E26" s="5"/>
    </row>
    <row r="27" spans="1:5" ht="15.75" customHeight="1" x14ac:dyDescent="0.3">
      <c r="C27" s="47">
        <v>395.84</v>
      </c>
      <c r="D27" s="40">
        <f t="shared" si="0"/>
        <v>-4.0057167012218058E-3</v>
      </c>
      <c r="E27" s="5"/>
    </row>
    <row r="28" spans="1:5" ht="15.75" customHeight="1" x14ac:dyDescent="0.3">
      <c r="C28" s="47">
        <v>402.93</v>
      </c>
      <c r="D28" s="40">
        <f t="shared" si="0"/>
        <v>1.3833813079973549E-2</v>
      </c>
      <c r="E28" s="5"/>
    </row>
    <row r="29" spans="1:5" ht="15.75" customHeight="1" x14ac:dyDescent="0.3">
      <c r="C29" s="47">
        <v>390.5</v>
      </c>
      <c r="D29" s="40">
        <f t="shared" si="0"/>
        <v>-1.7441977495521146E-2</v>
      </c>
      <c r="E29" s="5"/>
    </row>
    <row r="30" spans="1:5" ht="15.75" customHeight="1" x14ac:dyDescent="0.3">
      <c r="C30" s="47">
        <v>391.45</v>
      </c>
      <c r="D30" s="40">
        <f t="shared" si="0"/>
        <v>-1.5051631474063416E-2</v>
      </c>
      <c r="E30" s="5"/>
    </row>
    <row r="31" spans="1:5" ht="15.75" customHeight="1" x14ac:dyDescent="0.3">
      <c r="C31" s="47">
        <v>396.3</v>
      </c>
      <c r="D31" s="40">
        <f t="shared" si="0"/>
        <v>-2.8482859960947994E-3</v>
      </c>
      <c r="E31" s="5"/>
    </row>
    <row r="32" spans="1:5" ht="15.75" customHeight="1" x14ac:dyDescent="0.3">
      <c r="C32" s="47">
        <v>400.44</v>
      </c>
      <c r="D32" s="40">
        <f t="shared" si="0"/>
        <v>7.5685903500474008E-3</v>
      </c>
      <c r="E32" s="5"/>
    </row>
    <row r="33" spans="1:7" ht="15.75" customHeight="1" x14ac:dyDescent="0.3">
      <c r="C33" s="47">
        <v>403.26</v>
      </c>
      <c r="D33" s="40">
        <f t="shared" si="0"/>
        <v>1.4664143803216732E-2</v>
      </c>
      <c r="E33" s="5"/>
    </row>
    <row r="34" spans="1:7" ht="15.75" customHeight="1" x14ac:dyDescent="0.3">
      <c r="C34" s="47">
        <v>392.15</v>
      </c>
      <c r="D34" s="40">
        <f t="shared" si="0"/>
        <v>-1.3290323879305095E-2</v>
      </c>
      <c r="E34" s="5"/>
    </row>
    <row r="35" spans="1:7" ht="15.75" customHeight="1" x14ac:dyDescent="0.3">
      <c r="C35" s="47">
        <v>399.1</v>
      </c>
      <c r="D35" s="40">
        <f t="shared" si="0"/>
        <v>4.1969443829386246E-3</v>
      </c>
      <c r="E35" s="5"/>
    </row>
    <row r="36" spans="1:7" ht="15.75" customHeight="1" x14ac:dyDescent="0.3">
      <c r="C36" s="47">
        <v>398.34</v>
      </c>
      <c r="D36" s="40">
        <f t="shared" si="0"/>
        <v>2.2846675657722968E-3</v>
      </c>
      <c r="E36" s="5"/>
    </row>
    <row r="37" spans="1:7" ht="15.75" customHeight="1" x14ac:dyDescent="0.3">
      <c r="C37" s="47">
        <v>398.04</v>
      </c>
      <c r="D37" s="40">
        <f t="shared" si="0"/>
        <v>1.5298214537331192E-3</v>
      </c>
      <c r="E37" s="5"/>
    </row>
    <row r="38" spans="1:7" ht="15.75" customHeight="1" x14ac:dyDescent="0.3">
      <c r="C38" s="47">
        <v>387.29</v>
      </c>
      <c r="D38" s="40">
        <f t="shared" si="0"/>
        <v>-2.5518830894341524E-2</v>
      </c>
      <c r="E38" s="5"/>
    </row>
    <row r="39" spans="1:7" ht="15.75" customHeight="1" x14ac:dyDescent="0.3">
      <c r="C39" s="47">
        <v>409</v>
      </c>
      <c r="D39" s="40">
        <f t="shared" si="0"/>
        <v>2.9106866080235213E-2</v>
      </c>
      <c r="E39" s="5"/>
    </row>
    <row r="40" spans="1:7" ht="15.75" customHeight="1" x14ac:dyDescent="0.3">
      <c r="C40" s="47">
        <v>391.12</v>
      </c>
      <c r="D40" s="40">
        <f t="shared" si="0"/>
        <v>-1.5881962197306598E-2</v>
      </c>
      <c r="E40" s="5"/>
    </row>
    <row r="41" spans="1:7" ht="15.75" customHeight="1" x14ac:dyDescent="0.3">
      <c r="C41" s="47">
        <v>398.78</v>
      </c>
      <c r="D41" s="40">
        <f t="shared" si="0"/>
        <v>3.3917751967632533E-3</v>
      </c>
      <c r="E41" s="5"/>
    </row>
    <row r="42" spans="1:7" ht="15.75" customHeight="1" x14ac:dyDescent="0.3">
      <c r="C42" s="47">
        <v>408.87</v>
      </c>
      <c r="D42" s="40">
        <f t="shared" si="0"/>
        <v>2.8779766098351534E-2</v>
      </c>
      <c r="E42" s="5"/>
    </row>
    <row r="43" spans="1:7" ht="16.5" customHeight="1" x14ac:dyDescent="0.3">
      <c r="C43" s="48">
        <v>398.44</v>
      </c>
      <c r="D43" s="41">
        <f t="shared" si="0"/>
        <v>2.5362829364521185E-3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7948.6399999999994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397.43199999999996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4">
        <f>C46</f>
        <v>397.43199999999996</v>
      </c>
      <c r="C49" s="45">
        <f>-IF(C46&lt;=80,10%,IF(C46&lt;250,7.5%,5%))</f>
        <v>-0.05</v>
      </c>
      <c r="D49" s="33">
        <f>IF(C46&lt;=80,C46*0.9,IF(C46&lt;250,C46*0.925,C46*0.95))</f>
        <v>377.56039999999996</v>
      </c>
    </row>
    <row r="50" spans="1:6" ht="17.25" customHeight="1" x14ac:dyDescent="0.3">
      <c r="B50" s="285"/>
      <c r="C50" s="46">
        <f>IF(C46&lt;=80, 10%, IF(C46&lt;250, 7.5%, 5%))</f>
        <v>0.05</v>
      </c>
      <c r="D50" s="33">
        <f>IF(C46&lt;=80, C46*1.1, IF(C46&lt;250, C46*1.075, C46*1.05))</f>
        <v>417.30359999999996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7" zoomScale="44" zoomScaleNormal="40" zoomScalePageLayoutView="44" workbookViewId="0">
      <selection activeCell="A117" sqref="A117:B1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2" t="s">
        <v>45</v>
      </c>
      <c r="B1" s="322"/>
      <c r="C1" s="322"/>
      <c r="D1" s="322"/>
      <c r="E1" s="322"/>
      <c r="F1" s="322"/>
      <c r="G1" s="322"/>
      <c r="H1" s="322"/>
      <c r="I1" s="322"/>
    </row>
    <row r="2" spans="1:9" ht="18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</row>
    <row r="3" spans="1:9" ht="18.75" customHeight="1" x14ac:dyDescent="0.25">
      <c r="A3" s="322"/>
      <c r="B3" s="322"/>
      <c r="C3" s="322"/>
      <c r="D3" s="322"/>
      <c r="E3" s="322"/>
      <c r="F3" s="322"/>
      <c r="G3" s="322"/>
      <c r="H3" s="322"/>
      <c r="I3" s="322"/>
    </row>
    <row r="4" spans="1:9" ht="18.75" customHeight="1" x14ac:dyDescent="0.25">
      <c r="A4" s="322"/>
      <c r="B4" s="322"/>
      <c r="C4" s="322"/>
      <c r="D4" s="322"/>
      <c r="E4" s="322"/>
      <c r="F4" s="322"/>
      <c r="G4" s="322"/>
      <c r="H4" s="322"/>
      <c r="I4" s="322"/>
    </row>
    <row r="5" spans="1:9" ht="18.75" customHeight="1" x14ac:dyDescent="0.25">
      <c r="A5" s="322"/>
      <c r="B5" s="322"/>
      <c r="C5" s="322"/>
      <c r="D5" s="322"/>
      <c r="E5" s="322"/>
      <c r="F5" s="322"/>
      <c r="G5" s="322"/>
      <c r="H5" s="322"/>
      <c r="I5" s="322"/>
    </row>
    <row r="6" spans="1:9" ht="18.75" customHeight="1" x14ac:dyDescent="0.25">
      <c r="A6" s="322"/>
      <c r="B6" s="322"/>
      <c r="C6" s="322"/>
      <c r="D6" s="322"/>
      <c r="E6" s="322"/>
      <c r="F6" s="322"/>
      <c r="G6" s="322"/>
      <c r="H6" s="322"/>
      <c r="I6" s="322"/>
    </row>
    <row r="7" spans="1:9" ht="18.75" customHeight="1" x14ac:dyDescent="0.25">
      <c r="A7" s="322"/>
      <c r="B7" s="322"/>
      <c r="C7" s="322"/>
      <c r="D7" s="322"/>
      <c r="E7" s="322"/>
      <c r="F7" s="322"/>
      <c r="G7" s="322"/>
      <c r="H7" s="322"/>
      <c r="I7" s="322"/>
    </row>
    <row r="8" spans="1:9" x14ac:dyDescent="0.25">
      <c r="A8" s="323" t="s">
        <v>46</v>
      </c>
      <c r="B8" s="323"/>
      <c r="C8" s="323"/>
      <c r="D8" s="323"/>
      <c r="E8" s="323"/>
      <c r="F8" s="323"/>
      <c r="G8" s="323"/>
      <c r="H8" s="323"/>
      <c r="I8" s="323"/>
    </row>
    <row r="9" spans="1:9" x14ac:dyDescent="0.25">
      <c r="A9" s="323"/>
      <c r="B9" s="323"/>
      <c r="C9" s="323"/>
      <c r="D9" s="323"/>
      <c r="E9" s="323"/>
      <c r="F9" s="323"/>
      <c r="G9" s="323"/>
      <c r="H9" s="323"/>
      <c r="I9" s="323"/>
    </row>
    <row r="10" spans="1:9" x14ac:dyDescent="0.25">
      <c r="A10" s="323"/>
      <c r="B10" s="323"/>
      <c r="C10" s="323"/>
      <c r="D10" s="323"/>
      <c r="E10" s="323"/>
      <c r="F10" s="323"/>
      <c r="G10" s="323"/>
      <c r="H10" s="323"/>
      <c r="I10" s="323"/>
    </row>
    <row r="11" spans="1:9" x14ac:dyDescent="0.25">
      <c r="A11" s="323"/>
      <c r="B11" s="323"/>
      <c r="C11" s="323"/>
      <c r="D11" s="323"/>
      <c r="E11" s="323"/>
      <c r="F11" s="323"/>
      <c r="G11" s="323"/>
      <c r="H11" s="323"/>
      <c r="I11" s="323"/>
    </row>
    <row r="12" spans="1:9" x14ac:dyDescent="0.25">
      <c r="A12" s="323"/>
      <c r="B12" s="323"/>
      <c r="C12" s="323"/>
      <c r="D12" s="323"/>
      <c r="E12" s="323"/>
      <c r="F12" s="323"/>
      <c r="G12" s="323"/>
      <c r="H12" s="323"/>
      <c r="I12" s="323"/>
    </row>
    <row r="13" spans="1:9" x14ac:dyDescent="0.25">
      <c r="A13" s="323"/>
      <c r="B13" s="323"/>
      <c r="C13" s="323"/>
      <c r="D13" s="323"/>
      <c r="E13" s="323"/>
      <c r="F13" s="323"/>
      <c r="G13" s="323"/>
      <c r="H13" s="323"/>
      <c r="I13" s="323"/>
    </row>
    <row r="14" spans="1:9" x14ac:dyDescent="0.25">
      <c r="A14" s="323"/>
      <c r="B14" s="323"/>
      <c r="C14" s="323"/>
      <c r="D14" s="323"/>
      <c r="E14" s="323"/>
      <c r="F14" s="323"/>
      <c r="G14" s="323"/>
      <c r="H14" s="323"/>
      <c r="I14" s="323"/>
    </row>
    <row r="15" spans="1:9" ht="19.5" customHeight="1" x14ac:dyDescent="0.3">
      <c r="A15" s="50"/>
    </row>
    <row r="16" spans="1:9" ht="19.5" customHeight="1" x14ac:dyDescent="0.3">
      <c r="A16" s="295" t="s">
        <v>31</v>
      </c>
      <c r="B16" s="296"/>
      <c r="C16" s="296"/>
      <c r="D16" s="296"/>
      <c r="E16" s="296"/>
      <c r="F16" s="296"/>
      <c r="G16" s="296"/>
      <c r="H16" s="297"/>
    </row>
    <row r="17" spans="1:14" ht="20.25" customHeight="1" x14ac:dyDescent="0.25">
      <c r="A17" s="298" t="s">
        <v>47</v>
      </c>
      <c r="B17" s="298"/>
      <c r="C17" s="298"/>
      <c r="D17" s="298"/>
      <c r="E17" s="298"/>
      <c r="F17" s="298"/>
      <c r="G17" s="298"/>
      <c r="H17" s="298"/>
    </row>
    <row r="18" spans="1:14" ht="26.25" customHeight="1" x14ac:dyDescent="0.4">
      <c r="A18" s="52" t="s">
        <v>33</v>
      </c>
      <c r="B18" s="294" t="s">
        <v>5</v>
      </c>
      <c r="C18" s="29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99" t="s">
        <v>9</v>
      </c>
      <c r="C20" s="29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99" t="s">
        <v>11</v>
      </c>
      <c r="C21" s="299"/>
      <c r="D21" s="299"/>
      <c r="E21" s="299"/>
      <c r="F21" s="299"/>
      <c r="G21" s="299"/>
      <c r="H21" s="299"/>
      <c r="I21" s="56"/>
    </row>
    <row r="22" spans="1:14" ht="26.25" customHeight="1" x14ac:dyDescent="0.4">
      <c r="A22" s="52" t="s">
        <v>37</v>
      </c>
      <c r="B22" s="57">
        <v>42643.559953703705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42646.559965277775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94" t="s">
        <v>131</v>
      </c>
      <c r="C26" s="294"/>
    </row>
    <row r="27" spans="1:14" ht="26.25" customHeight="1" x14ac:dyDescent="0.4">
      <c r="A27" s="61" t="s">
        <v>48</v>
      </c>
      <c r="B27" s="300" t="s">
        <v>132</v>
      </c>
      <c r="C27" s="300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>
        <v>0</v>
      </c>
      <c r="C29" s="301" t="s">
        <v>50</v>
      </c>
      <c r="D29" s="302"/>
      <c r="E29" s="302"/>
      <c r="F29" s="302"/>
      <c r="G29" s="30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304" t="s">
        <v>53</v>
      </c>
      <c r="D31" s="305"/>
      <c r="E31" s="305"/>
      <c r="F31" s="305"/>
      <c r="G31" s="305"/>
      <c r="H31" s="30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304" t="s">
        <v>55</v>
      </c>
      <c r="D32" s="305"/>
      <c r="E32" s="305"/>
      <c r="F32" s="305"/>
      <c r="G32" s="305"/>
      <c r="H32" s="30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</v>
      </c>
      <c r="C36" s="51"/>
      <c r="D36" s="307" t="s">
        <v>59</v>
      </c>
      <c r="E36" s="308"/>
      <c r="F36" s="307" t="s">
        <v>60</v>
      </c>
      <c r="G36" s="30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32225961</v>
      </c>
      <c r="E38" s="85">
        <f>IF(ISBLANK(D38),"-",$D$48/$D$45*D38)</f>
        <v>19010368.600644846</v>
      </c>
      <c r="F38" s="84">
        <v>25466434</v>
      </c>
      <c r="G38" s="86">
        <f>IF(ISBLANK(F38),"-",$D$48/$F$45*F38)</f>
        <v>19468773.976840798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32329013</v>
      </c>
      <c r="E39" s="90">
        <f>IF(ISBLANK(D39),"-",$D$48/$D$45*D39)</f>
        <v>19071159.852301657</v>
      </c>
      <c r="F39" s="89">
        <v>25462005</v>
      </c>
      <c r="G39" s="91">
        <f>IF(ISBLANK(F39),"-",$D$48/$F$45*F39)</f>
        <v>19465388.061092116</v>
      </c>
      <c r="I39" s="311">
        <f>ABS((F43/D43*D42)-F42)/D42</f>
        <v>1.7268164157993423E-2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32261306</v>
      </c>
      <c r="E40" s="90">
        <f>IF(ISBLANK(D40),"-",$D$48/$D$45*D40)</f>
        <v>19031218.916891109</v>
      </c>
      <c r="F40" s="89">
        <v>25450622</v>
      </c>
      <c r="G40" s="91">
        <f>IF(ISBLANK(F40),"-",$D$48/$F$45*F40)</f>
        <v>19456685.898308806</v>
      </c>
      <c r="I40" s="31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32272093.333333332</v>
      </c>
      <c r="E42" s="100">
        <f>AVERAGE(E38:E41)</f>
        <v>19037582.456612539</v>
      </c>
      <c r="F42" s="99">
        <f>AVERAGE(F38:F41)</f>
        <v>25459687</v>
      </c>
      <c r="G42" s="101">
        <f>AVERAGE(G38:G41)</f>
        <v>19463615.978747241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5.43</v>
      </c>
      <c r="E43" s="92"/>
      <c r="F43" s="104">
        <v>4.1900000000000004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5.43</v>
      </c>
      <c r="E44" s="107"/>
      <c r="F44" s="106">
        <f>F43*$B$34</f>
        <v>4.1900000000000004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</v>
      </c>
      <c r="C45" s="105" t="s">
        <v>77</v>
      </c>
      <c r="D45" s="109">
        <f>D44*$B$30/100</f>
        <v>5.4245700000000001</v>
      </c>
      <c r="E45" s="110"/>
      <c r="F45" s="109">
        <f>F44*$B$30/100</f>
        <v>4.1858100000000009</v>
      </c>
      <c r="H45" s="102"/>
    </row>
    <row r="46" spans="1:14" ht="19.5" customHeight="1" x14ac:dyDescent="0.3">
      <c r="A46" s="312" t="s">
        <v>78</v>
      </c>
      <c r="B46" s="313"/>
      <c r="C46" s="105" t="s">
        <v>79</v>
      </c>
      <c r="D46" s="111">
        <f>D45/$B$45</f>
        <v>0.54245699999999997</v>
      </c>
      <c r="E46" s="112"/>
      <c r="F46" s="113">
        <f>F45/$B$45</f>
        <v>0.41858100000000009</v>
      </c>
      <c r="H46" s="102"/>
    </row>
    <row r="47" spans="1:14" ht="27" customHeight="1" x14ac:dyDescent="0.4">
      <c r="A47" s="314"/>
      <c r="B47" s="315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3.2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3.2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19250599.217679888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1.2165742927439516E-2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uncoated tablet contains: Isoniazid BP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199">
        <f>Uniformity!C46</f>
        <v>397.43199999999996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16" t="s">
        <v>94</v>
      </c>
      <c r="D60" s="319">
        <v>38.69</v>
      </c>
      <c r="E60" s="134">
        <v>1</v>
      </c>
      <c r="F60" s="135">
        <v>16328772</v>
      </c>
      <c r="G60" s="200">
        <f>IF(ISBLANK(F60),"-",(F60/$D$50*$D$47*$B$68)*($B$57/$D$60))</f>
        <v>278.8196343931794</v>
      </c>
      <c r="H60" s="218">
        <f t="shared" ref="H60:H71" si="0">IF(ISBLANK(F60),"-",(G60/$B$56)*100)</f>
        <v>92.9398781310598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17"/>
      <c r="D61" s="320"/>
      <c r="E61" s="136">
        <v>2</v>
      </c>
      <c r="F61" s="89">
        <v>16348776</v>
      </c>
      <c r="G61" s="201">
        <f>IF(ISBLANK(F61),"-",(F61/$D$50*$D$47*$B$68)*($B$57/$D$60))</f>
        <v>279.16120986293316</v>
      </c>
      <c r="H61" s="219">
        <f t="shared" si="0"/>
        <v>93.053736620977716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7"/>
      <c r="D62" s="320"/>
      <c r="E62" s="136">
        <v>3</v>
      </c>
      <c r="F62" s="137">
        <v>16279371</v>
      </c>
      <c r="G62" s="201">
        <f>IF(ISBLANK(F62),"-",(F62/$D$50*$D$47*$B$68)*($B$57/$D$60))</f>
        <v>277.97609461207048</v>
      </c>
      <c r="H62" s="219">
        <f t="shared" si="0"/>
        <v>92.658698204023494</v>
      </c>
      <c r="L62" s="64"/>
    </row>
    <row r="63" spans="1:12" ht="27" customHeight="1" x14ac:dyDescent="0.4">
      <c r="A63" s="76" t="s">
        <v>97</v>
      </c>
      <c r="B63" s="77">
        <v>1</v>
      </c>
      <c r="C63" s="318"/>
      <c r="D63" s="32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16" t="s">
        <v>99</v>
      </c>
      <c r="D64" s="319">
        <v>42.91</v>
      </c>
      <c r="E64" s="134">
        <v>1</v>
      </c>
      <c r="F64" s="135">
        <v>18334225</v>
      </c>
      <c r="G64" s="200">
        <f>IF(ISBLANK(F64),"-",(F64/$D$50*$D$47*$B$68)*($B$57/$D$64))</f>
        <v>282.27511977283814</v>
      </c>
      <c r="H64" s="218">
        <f t="shared" si="0"/>
        <v>94.091706590946046</v>
      </c>
    </row>
    <row r="65" spans="1:8" ht="26.25" customHeight="1" x14ac:dyDescent="0.4">
      <c r="A65" s="76" t="s">
        <v>100</v>
      </c>
      <c r="B65" s="77">
        <v>1</v>
      </c>
      <c r="C65" s="317"/>
      <c r="D65" s="320"/>
      <c r="E65" s="136">
        <v>2</v>
      </c>
      <c r="F65" s="89">
        <v>18326011</v>
      </c>
      <c r="G65" s="201">
        <f>IF(ISBLANK(F65),"-",(F65/$D$50*$D$47*$B$68)*($B$57/$D$64))</f>
        <v>282.14865640534839</v>
      </c>
      <c r="H65" s="219">
        <f t="shared" si="0"/>
        <v>94.04955213511613</v>
      </c>
    </row>
    <row r="66" spans="1:8" ht="26.25" customHeight="1" x14ac:dyDescent="0.4">
      <c r="A66" s="76" t="s">
        <v>101</v>
      </c>
      <c r="B66" s="77">
        <v>1</v>
      </c>
      <c r="C66" s="317"/>
      <c r="D66" s="320"/>
      <c r="E66" s="136">
        <v>3</v>
      </c>
      <c r="F66" s="89">
        <v>18202259</v>
      </c>
      <c r="G66" s="201">
        <f>IF(ISBLANK(F66),"-",(F66/$D$50*$D$47*$B$68)*($B$57/$D$64))</f>
        <v>280.24336121986181</v>
      </c>
      <c r="H66" s="219">
        <f t="shared" si="0"/>
        <v>93.414453739953942</v>
      </c>
    </row>
    <row r="67" spans="1:8" ht="27" customHeight="1" x14ac:dyDescent="0.4">
      <c r="A67" s="76" t="s">
        <v>102</v>
      </c>
      <c r="B67" s="77">
        <v>1</v>
      </c>
      <c r="C67" s="318"/>
      <c r="D67" s="32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</v>
      </c>
      <c r="C68" s="316" t="s">
        <v>104</v>
      </c>
      <c r="D68" s="319">
        <v>41.25</v>
      </c>
      <c r="E68" s="134">
        <v>1</v>
      </c>
      <c r="F68" s="135">
        <v>17576141</v>
      </c>
      <c r="G68" s="200">
        <f>IF(ISBLANK(F68),"-",(F68/$D$50*$D$47*$B$68)*($B$57/$D$68))</f>
        <v>281.4933458775123</v>
      </c>
      <c r="H68" s="219">
        <f t="shared" si="0"/>
        <v>93.831115292504094</v>
      </c>
    </row>
    <row r="69" spans="1:8" ht="27" customHeight="1" x14ac:dyDescent="0.4">
      <c r="A69" s="124" t="s">
        <v>105</v>
      </c>
      <c r="B69" s="141">
        <f>(D47*B68)/B56*B57</f>
        <v>42.392746666666667</v>
      </c>
      <c r="C69" s="317"/>
      <c r="D69" s="320"/>
      <c r="E69" s="136">
        <v>2</v>
      </c>
      <c r="F69" s="89">
        <v>17635502</v>
      </c>
      <c r="G69" s="201">
        <f>IF(ISBLANK(F69),"-",(F69/$D$50*$D$47*$B$68)*($B$57/$D$68))</f>
        <v>282.4440509557565</v>
      </c>
      <c r="H69" s="219">
        <f t="shared" si="0"/>
        <v>94.14801698525217</v>
      </c>
    </row>
    <row r="70" spans="1:8" ht="26.25" customHeight="1" x14ac:dyDescent="0.4">
      <c r="A70" s="329" t="s">
        <v>78</v>
      </c>
      <c r="B70" s="330"/>
      <c r="C70" s="317"/>
      <c r="D70" s="320"/>
      <c r="E70" s="136">
        <v>3</v>
      </c>
      <c r="F70" s="89">
        <v>17525361</v>
      </c>
      <c r="G70" s="201">
        <f>IF(ISBLANK(F70),"-",(F70/$D$50*$D$47*$B$68)*($B$57/$D$68))</f>
        <v>280.68007110327943</v>
      </c>
      <c r="H70" s="219">
        <f t="shared" si="0"/>
        <v>93.560023701093144</v>
      </c>
    </row>
    <row r="71" spans="1:8" ht="27" customHeight="1" x14ac:dyDescent="0.4">
      <c r="A71" s="331"/>
      <c r="B71" s="332"/>
      <c r="C71" s="328"/>
      <c r="D71" s="32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280.58239380030886</v>
      </c>
      <c r="H72" s="221">
        <f>AVERAGE(H60:H71)</f>
        <v>93.527464600102959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5.8641952866864402E-3</v>
      </c>
      <c r="H73" s="205">
        <f>STDEV(H60:H71)/H72</f>
        <v>5.864195286686448E-3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324" t="str">
        <f>B26</f>
        <v>ISONIAZID</v>
      </c>
      <c r="D76" s="324"/>
      <c r="E76" s="150" t="s">
        <v>108</v>
      </c>
      <c r="F76" s="150"/>
      <c r="G76" s="151">
        <f>H72</f>
        <v>93.527464600102959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10" t="str">
        <f>B26</f>
        <v>ISONIAZID</v>
      </c>
      <c r="C79" s="310"/>
    </row>
    <row r="80" spans="1:8" ht="26.25" customHeight="1" x14ac:dyDescent="0.4">
      <c r="A80" s="61" t="s">
        <v>48</v>
      </c>
      <c r="B80" s="310" t="str">
        <f>B27</f>
        <v>I8-3</v>
      </c>
      <c r="C80" s="310"/>
    </row>
    <row r="81" spans="1:12" ht="27" customHeight="1" x14ac:dyDescent="0.4">
      <c r="A81" s="61" t="s">
        <v>6</v>
      </c>
      <c r="B81" s="153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301" t="s">
        <v>50</v>
      </c>
      <c r="D82" s="302"/>
      <c r="E82" s="302"/>
      <c r="F82" s="302"/>
      <c r="G82" s="30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304" t="s">
        <v>111</v>
      </c>
      <c r="D84" s="305"/>
      <c r="E84" s="305"/>
      <c r="F84" s="305"/>
      <c r="G84" s="305"/>
      <c r="H84" s="30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304" t="s">
        <v>112</v>
      </c>
      <c r="D85" s="305"/>
      <c r="E85" s="305"/>
      <c r="F85" s="305"/>
      <c r="G85" s="305"/>
      <c r="H85" s="30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</v>
      </c>
      <c r="D89" s="154" t="s">
        <v>59</v>
      </c>
      <c r="E89" s="155"/>
      <c r="F89" s="307" t="s">
        <v>60</v>
      </c>
      <c r="G89" s="309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58">
        <v>1</v>
      </c>
      <c r="D91" s="84">
        <v>0.495</v>
      </c>
      <c r="E91" s="85">
        <f>IF(ISBLANK(D91),"-",$D$101/$D$98*D91)</f>
        <v>0.4768047493220704</v>
      </c>
      <c r="F91" s="84">
        <v>0.59</v>
      </c>
      <c r="G91" s="86">
        <f>IF(ISBLANK(F91),"-",$D$101/$F$98*F91)</f>
        <v>0.47414145037780225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4">
        <v>0.496</v>
      </c>
      <c r="E92" s="90">
        <f>IF(ISBLANK(D92),"-",$D$101/$D$98*D92)</f>
        <v>0.47776799123989278</v>
      </c>
      <c r="F92" s="84">
        <v>0.58699999999999997</v>
      </c>
      <c r="G92" s="91">
        <f>IF(ISBLANK(F92),"-",$D$101/$F$98*F92)</f>
        <v>0.47173056164706767</v>
      </c>
      <c r="I92" s="311">
        <f>ABS((F96/D96*D95)-F95)/D95</f>
        <v>1.098822590239357E-2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4">
        <v>0.496</v>
      </c>
      <c r="E93" s="90">
        <f>IF(ISBLANK(D93),"-",$D$101/$D$98*D93)</f>
        <v>0.47776799123989278</v>
      </c>
      <c r="F93" s="84">
        <v>0.58899999999999997</v>
      </c>
      <c r="G93" s="91">
        <f>IF(ISBLANK(F93),"-",$D$101/$F$98*F93)</f>
        <v>0.47333782080089071</v>
      </c>
      <c r="I93" s="311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0.4956666666666667</v>
      </c>
      <c r="E95" s="100">
        <f>AVERAGE(E91:E94)</f>
        <v>0.47744691060061867</v>
      </c>
      <c r="F95" s="163">
        <f>AVERAGE(F91:F94)</f>
        <v>0.58866666666666667</v>
      </c>
      <c r="G95" s="164">
        <f>AVERAGE(G91:G94)</f>
        <v>0.47306994427525356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4.33</v>
      </c>
      <c r="E96" s="92"/>
      <c r="F96" s="104">
        <v>5.19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4.33</v>
      </c>
      <c r="E97" s="107"/>
      <c r="F97" s="106">
        <f>F96*$B$87</f>
        <v>5.19</v>
      </c>
    </row>
    <row r="98" spans="1:10" ht="19.5" customHeight="1" x14ac:dyDescent="0.3">
      <c r="A98" s="76" t="s">
        <v>76</v>
      </c>
      <c r="B98" s="169">
        <f>(B97/B96)*(B95/B94)*(B93/B92)*(B91/B90)*B89</f>
        <v>125</v>
      </c>
      <c r="C98" s="167" t="s">
        <v>115</v>
      </c>
      <c r="D98" s="170">
        <f>D97*$B$83/100</f>
        <v>4.3256699999999997</v>
      </c>
      <c r="E98" s="110"/>
      <c r="F98" s="109">
        <f>F97*$B$83/100</f>
        <v>5.1848100000000015</v>
      </c>
    </row>
    <row r="99" spans="1:10" ht="19.5" customHeight="1" x14ac:dyDescent="0.3">
      <c r="A99" s="312" t="s">
        <v>78</v>
      </c>
      <c r="B99" s="326"/>
      <c r="C99" s="167" t="s">
        <v>116</v>
      </c>
      <c r="D99" s="171">
        <f>D98/$B$98</f>
        <v>3.4605359999999995E-2</v>
      </c>
      <c r="E99" s="110"/>
      <c r="F99" s="113">
        <f>F98/$B$98</f>
        <v>4.1478480000000012E-2</v>
      </c>
      <c r="G99" s="172"/>
      <c r="H99" s="102"/>
    </row>
    <row r="100" spans="1:10" ht="19.5" customHeight="1" x14ac:dyDescent="0.3">
      <c r="A100" s="314"/>
      <c r="B100" s="327"/>
      <c r="C100" s="167" t="s">
        <v>80</v>
      </c>
      <c r="D100" s="173">
        <f>$B$56/$B$116</f>
        <v>3.3333333333333333E-2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4.166666666666667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4.166666666666667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0.47525842743793612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5.3536593189661983E-3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5</v>
      </c>
      <c r="C108" s="227">
        <v>1</v>
      </c>
      <c r="D108" s="228">
        <v>0.433</v>
      </c>
      <c r="E108" s="202">
        <f t="shared" ref="E108:E113" si="1">IF(ISBLANK(D108),"-",D108/$D$103*$D$100*$B$116)</f>
        <v>273.3249796332409</v>
      </c>
      <c r="F108" s="229">
        <f t="shared" ref="F108:F113" si="2">IF(ISBLANK(D108), "-", (E108/$B$56)*100)</f>
        <v>91.108326544413629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0.43</v>
      </c>
      <c r="E109" s="203">
        <f t="shared" si="1"/>
        <v>271.43127307689053</v>
      </c>
      <c r="F109" s="230">
        <f t="shared" si="2"/>
        <v>90.477091025630173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0.432</v>
      </c>
      <c r="E110" s="203">
        <f t="shared" si="1"/>
        <v>272.69374411445744</v>
      </c>
      <c r="F110" s="230">
        <f t="shared" si="2"/>
        <v>90.897914704819144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0.43099999999999999</v>
      </c>
      <c r="E111" s="203">
        <f t="shared" si="1"/>
        <v>272.06250859567399</v>
      </c>
      <c r="F111" s="230">
        <f t="shared" si="2"/>
        <v>90.687502865224673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0.43</v>
      </c>
      <c r="E112" s="203">
        <f t="shared" si="1"/>
        <v>271.43127307689053</v>
      </c>
      <c r="F112" s="230">
        <f t="shared" si="2"/>
        <v>90.477091025630173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0.43</v>
      </c>
      <c r="E113" s="204">
        <f t="shared" si="1"/>
        <v>271.43127307689053</v>
      </c>
      <c r="F113" s="231">
        <f t="shared" si="2"/>
        <v>90.477091025630173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272.06250859567399</v>
      </c>
      <c r="F115" s="233">
        <f>AVERAGE(F108:F113)</f>
        <v>90.687502865224658</v>
      </c>
    </row>
    <row r="116" spans="1:10" ht="27" customHeight="1" x14ac:dyDescent="0.4">
      <c r="A116" s="76" t="s">
        <v>103</v>
      </c>
      <c r="B116" s="108">
        <f>(B115/B114)*(B113/B112)*(B111/B110)*(B109/B108)*B107</f>
        <v>9000</v>
      </c>
      <c r="C116" s="186"/>
      <c r="D116" s="210" t="s">
        <v>84</v>
      </c>
      <c r="E116" s="208">
        <f>STDEV(E108:E113)/E115</f>
        <v>2.9348284549125985E-3</v>
      </c>
      <c r="F116" s="187">
        <f>STDEV(F108:F113)/F115</f>
        <v>2.9348284549125985E-3</v>
      </c>
      <c r="I116" s="50"/>
    </row>
    <row r="117" spans="1:10" ht="27" customHeight="1" x14ac:dyDescent="0.4">
      <c r="A117" s="312" t="s">
        <v>78</v>
      </c>
      <c r="B117" s="31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314"/>
      <c r="B118" s="315"/>
      <c r="C118" s="50"/>
      <c r="D118" s="212"/>
      <c r="E118" s="292" t="s">
        <v>123</v>
      </c>
      <c r="F118" s="29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271.43127307689053</v>
      </c>
      <c r="F119" s="234">
        <f>MIN(F108:F113)</f>
        <v>90.477091025630173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273.3249796332409</v>
      </c>
      <c r="F120" s="235">
        <f>MAX(F108:F113)</f>
        <v>91.108326544413629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324" t="str">
        <f>B26</f>
        <v>ISONIAZID</v>
      </c>
      <c r="D124" s="324"/>
      <c r="E124" s="150" t="s">
        <v>127</v>
      </c>
      <c r="F124" s="150"/>
      <c r="G124" s="236">
        <f>F115</f>
        <v>90.687502865224658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90.477091025630173</v>
      </c>
      <c r="E125" s="161" t="s">
        <v>130</v>
      </c>
      <c r="F125" s="236">
        <f>MAX(F108:F113)</f>
        <v>91.108326544413629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325" t="s">
        <v>26</v>
      </c>
      <c r="C127" s="325"/>
      <c r="E127" s="156" t="s">
        <v>27</v>
      </c>
      <c r="F127" s="191"/>
      <c r="G127" s="325" t="s">
        <v>28</v>
      </c>
      <c r="H127" s="325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2016-10-04T05:32:58Z</cp:lastPrinted>
  <dcterms:created xsi:type="dcterms:W3CDTF">2005-07-05T10:19:27Z</dcterms:created>
  <dcterms:modified xsi:type="dcterms:W3CDTF">2016-10-04T05:35:33Z</dcterms:modified>
</cp:coreProperties>
</file>