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UTTO\"/>
    </mc:Choice>
  </mc:AlternateContent>
  <bookViews>
    <workbookView xWindow="0" yWindow="0" windowWidth="20490" windowHeight="9045" activeTab="2"/>
  </bookViews>
  <sheets>
    <sheet name="SST" sheetId="1" r:id="rId1"/>
    <sheet name="Uniformity" sheetId="2" r:id="rId2"/>
    <sheet name="Ethambutol Hydrochloride" sheetId="3" r:id="rId3"/>
  </sheets>
  <definedNames>
    <definedName name="_xlnm.Print_Area" localSheetId="2">'Ethambutol Hydrochloride'!$A$1:$I$129</definedName>
    <definedName name="_xlnm.Print_Area" localSheetId="0">SST!$A$15:$G$61</definedName>
    <definedName name="_xlnm.Print_Area" localSheetId="1">Uniformity!$A$12:$F$54</definedName>
  </definedNames>
  <calcPr calcId="15251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37" i="2" s="1"/>
  <c r="C45" i="2"/>
  <c r="D31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2" l="1"/>
  <c r="D33" i="2"/>
  <c r="D41" i="2"/>
  <c r="C49" i="2"/>
  <c r="D39" i="2"/>
  <c r="D27" i="2"/>
  <c r="D35" i="2"/>
  <c r="D43" i="2"/>
  <c r="D29" i="2"/>
  <c r="I92" i="3"/>
  <c r="D101" i="3"/>
  <c r="D45" i="3"/>
  <c r="D46" i="3" s="1"/>
  <c r="D49" i="3"/>
  <c r="F44" i="3"/>
  <c r="F45" i="3" s="1"/>
  <c r="F46" i="3" s="1"/>
  <c r="F98" i="3"/>
  <c r="F99" i="3" s="1"/>
  <c r="E38" i="3"/>
  <c r="D24" i="2"/>
  <c r="D28" i="2"/>
  <c r="D32" i="2"/>
  <c r="D36" i="2"/>
  <c r="D40" i="2"/>
  <c r="D49" i="2"/>
  <c r="E41" i="3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D50" i="2"/>
  <c r="E40" i="3"/>
  <c r="E39" i="3" l="1"/>
  <c r="G93" i="3"/>
  <c r="D102" i="3"/>
  <c r="G94" i="3"/>
  <c r="G38" i="3"/>
  <c r="G39" i="3"/>
  <c r="G40" i="3"/>
  <c r="G41" i="3"/>
  <c r="E94" i="3"/>
  <c r="E42" i="3"/>
  <c r="G91" i="3"/>
  <c r="E92" i="3"/>
  <c r="E93" i="3"/>
  <c r="E91" i="3"/>
  <c r="G92" i="3"/>
  <c r="G42" i="3" l="1"/>
  <c r="G95" i="3"/>
  <c r="D50" i="3"/>
  <c r="G70" i="3" s="1"/>
  <c r="H70" i="3" s="1"/>
  <c r="D52" i="3"/>
  <c r="E95" i="3"/>
  <c r="D103" i="3"/>
  <c r="D105" i="3"/>
  <c r="G60" i="3" l="1"/>
  <c r="G62" i="3"/>
  <c r="H62" i="3" s="1"/>
  <c r="G71" i="3"/>
  <c r="H71" i="3" s="1"/>
  <c r="D51" i="3"/>
  <c r="G68" i="3"/>
  <c r="H68" i="3" s="1"/>
  <c r="G63" i="3"/>
  <c r="H63" i="3" s="1"/>
  <c r="G69" i="3"/>
  <c r="H69" i="3" s="1"/>
  <c r="G61" i="3"/>
  <c r="H61" i="3" s="1"/>
  <c r="G64" i="3"/>
  <c r="H64" i="3" s="1"/>
  <c r="G65" i="3"/>
  <c r="H65" i="3" s="1"/>
  <c r="G67" i="3"/>
  <c r="H67" i="3" s="1"/>
  <c r="G66" i="3"/>
  <c r="H66" i="3" s="1"/>
  <c r="H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E115" i="3"/>
  <c r="E116" i="3" s="1"/>
  <c r="E117" i="3"/>
  <c r="E119" i="3"/>
  <c r="F108" i="3"/>
  <c r="E120" i="3"/>
  <c r="F119" i="3" l="1"/>
  <c r="D125" i="3"/>
  <c r="F115" i="3"/>
  <c r="F125" i="3"/>
  <c r="F120" i="3"/>
  <c r="F117" i="3"/>
  <c r="G76" i="3"/>
  <c r="H73" i="3"/>
  <c r="G124" i="3" l="1"/>
  <c r="F116" i="3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<sst xmlns="http://schemas.openxmlformats.org/spreadsheetml/2006/main" count="239" uniqueCount="135">
  <si>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</si>
  <si>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</si>
  <si>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</si>
  <si>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</si>
  <si>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</si>
  <si>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ETHAM-400 TABLETS</t>
  </si>
  <si>
    <t>% age Purity:</t>
  </si>
  <si>
    <t>NDQB201609120</t>
  </si>
  <si>
    <t>Weight (mg):</t>
  </si>
  <si>
    <t>Ethambutol Hydrochloride B.P</t>
  </si>
  <si>
    <t>Standard Conc (mg/mL):</t>
  </si>
  <si>
    <t>Each film coated tablet contains Ethambutol HCL 400 mg</t>
  </si>
  <si>
    <t>2016-09-27 14:03:24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</si>
  <si>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</si>
  <si>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</si>
  <si>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</si>
  <si>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</si>
  <si>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</si>
  <si>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</si>
  <si>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</si>
  <si>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</si>
  <si>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</si>
  <si>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</si>
  <si>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</si>
  <si>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</si>
  <si>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</si>
  <si>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</si>
  <si>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</si>
  <si>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</si>
  <si>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</si>
  <si>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</si>
  <si>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</si>
  <si>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</si>
  <si>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</si>
  <si>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</si>
  <si>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</si>
  <si>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</si>
  <si>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</si>
  <si>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</si>
  <si>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</si>
  <si>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</si>
  <si>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</si>
  <si>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</si>
  <si>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</si>
  <si>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</si>
  <si>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</si>
  <si>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</si>
  <si>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</si>
  <si>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</si>
  <si>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</si>
  <si>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</si>
  <si>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</si>
  <si>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</si>
  <si>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</si>
  <si>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</si>
  <si>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</si>
  <si>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</si>
  <si>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</si>
  <si>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</si>
  <si>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</si>
  <si>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</si>
  <si>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</si>
  <si>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</si>
  <si>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</si>
  <si>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</si>
  <si>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</si>
  <si>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</si>
  <si>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</si>
  <si>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</si>
  <si>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</si>
  <si>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</si>
  <si>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</si>
  <si>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</si>
  <si>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</si>
  <si>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</si>
  <si>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</si>
  <si>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</si>
  <si>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</si>
  <si>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</si>
  <si>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</si>
  <si>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</si>
  <si>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</si>
  <si>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</si>
  <si>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</si>
  <si>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</si>
  <si>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</si>
  <si>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</si>
  <si>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</si>
  <si>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</si>
  <si>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</si>
  <si>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</si>
  <si>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</si>
  <si>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</si>
  <si>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</si>
  <si>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</si>
  <si>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</si>
  <si>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</si>
  <si>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</si>
  <si>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</si>
  <si>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</si>
  <si>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</si>
  <si>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</si>
  <si>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</si>
  <si>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</si>
  <si>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</si>
  <si>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</si>
  <si>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</si>
  <si>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</si>
  <si>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</si>
  <si>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</si>
  <si>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</si>
  <si>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</si>
  <si>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</si>
  <si>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</si>
  <si>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</si>
  <si>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</si>
  <si>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</si>
  <si>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</si>
  <si>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</si>
  <si>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</si>
  <si>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</si>
  <si>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</si>
  <si>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</si>
  <si>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</si>
  <si>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</si>
  <si>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</si>
  <si>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</si>
  <si>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</si>
  <si>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</si>
  <si>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</si>
  <si>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</si>
  <si>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RUTTO KENNEDY</t>
  </si>
  <si>
    <t>16/11/2016</t>
  </si>
  <si>
    <t>Ethambutol Hydrochloride USP</t>
  </si>
  <si>
    <t>E12-3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</si>
</sst>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9" fontId="1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8.0500000000000007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0.32200000000000001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9313328</v>
      </c>
      <c r="C24" s="18">
        <v>4095.23</v>
      </c>
      <c r="D24" s="19">
        <v>1.79</v>
      </c>
      <c r="E24" s="20">
        <v>4.91</v>
      </c>
    </row>
    <row r="25" spans="1:6" ht="16.5" customHeight="1" x14ac:dyDescent="0.3">
      <c r="A25" s="17">
        <v>2</v>
      </c>
      <c r="B25" s="18">
        <v>9332319</v>
      </c>
      <c r="C25" s="18">
        <v>4085.14</v>
      </c>
      <c r="D25" s="19">
        <v>1.81</v>
      </c>
      <c r="E25" s="19">
        <v>4.92</v>
      </c>
    </row>
    <row r="26" spans="1:6" ht="16.5" customHeight="1" x14ac:dyDescent="0.3">
      <c r="A26" s="17">
        <v>3</v>
      </c>
      <c r="B26" s="18">
        <v>9311140</v>
      </c>
      <c r="C26" s="18">
        <v>4100.26</v>
      </c>
      <c r="D26" s="19">
        <v>1.85</v>
      </c>
      <c r="E26" s="19">
        <v>4.93</v>
      </c>
    </row>
    <row r="27" spans="1:6" ht="16.5" customHeight="1" x14ac:dyDescent="0.3">
      <c r="A27" s="17">
        <v>4</v>
      </c>
      <c r="B27" s="18">
        <v>9313701</v>
      </c>
      <c r="C27" s="18">
        <v>4080.72</v>
      </c>
      <c r="D27" s="19">
        <v>1.83</v>
      </c>
      <c r="E27" s="19">
        <v>4.9400000000000004</v>
      </c>
    </row>
    <row r="28" spans="1:6" ht="16.5" customHeight="1" x14ac:dyDescent="0.3">
      <c r="A28" s="17">
        <v>5</v>
      </c>
      <c r="B28" s="18">
        <v>9320715</v>
      </c>
      <c r="C28" s="18">
        <v>4074.94</v>
      </c>
      <c r="D28" s="19">
        <v>1.82</v>
      </c>
      <c r="E28" s="19">
        <v>4.95</v>
      </c>
    </row>
    <row r="29" spans="1:6" ht="16.5" customHeight="1" x14ac:dyDescent="0.3">
      <c r="A29" s="17">
        <v>6</v>
      </c>
      <c r="B29" s="21">
        <v>9312478</v>
      </c>
      <c r="C29" s="21">
        <v>4086.26</v>
      </c>
      <c r="D29" s="22">
        <v>1.87</v>
      </c>
      <c r="E29" s="22">
        <v>4.96</v>
      </c>
    </row>
    <row r="30" spans="1:6" ht="16.5" customHeight="1" x14ac:dyDescent="0.3">
      <c r="A30" s="23" t="s">
        <v>18</v>
      </c>
      <c r="B30" s="24">
        <f>AVERAGE(B24:B29)</f>
        <v>9317280.166666666</v>
      </c>
      <c r="C30" s="25">
        <f>AVERAGE(C24:C29)</f>
        <v>4087.0916666666672</v>
      </c>
      <c r="D30" s="26">
        <f>AVERAGE(D24:D29)</f>
        <v>1.8283333333333331</v>
      </c>
      <c r="E30" s="26">
        <f>AVERAGE(E24:E29)</f>
        <v>4.9349999999999996</v>
      </c>
    </row>
    <row r="31" spans="1:6" ht="16.5" customHeight="1" x14ac:dyDescent="0.3">
      <c r="A31" s="27" t="s">
        <v>19</v>
      </c>
      <c r="B31" s="28">
        <f>(STDEV(B24:B29)/B30)</f>
        <v>8.6816848086477714E-4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131</v>
      </c>
      <c r="C60" s="48"/>
      <c r="E60" s="48" t="s">
        <v>132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3" sqref="B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606.83000000000004</v>
      </c>
      <c r="D24" s="87">
        <f t="shared" ref="D24:D43" si="0">(C24-$C$46)/$C$46</f>
        <v>-7.286302275210787E-3</v>
      </c>
      <c r="E24" s="53"/>
    </row>
    <row r="25" spans="1:5" ht="15.75" customHeight="1" x14ac:dyDescent="0.3">
      <c r="C25" s="95">
        <v>616.39</v>
      </c>
      <c r="D25" s="88">
        <f t="shared" si="0"/>
        <v>8.3529096132075997E-3</v>
      </c>
      <c r="E25" s="53"/>
    </row>
    <row r="26" spans="1:5" ht="15.75" customHeight="1" x14ac:dyDescent="0.3">
      <c r="C26" s="95">
        <v>614.13</v>
      </c>
      <c r="D26" s="88">
        <f t="shared" si="0"/>
        <v>4.6557737483722845E-3</v>
      </c>
      <c r="E26" s="53"/>
    </row>
    <row r="27" spans="1:5" ht="15.75" customHeight="1" x14ac:dyDescent="0.3">
      <c r="C27" s="95">
        <v>612.45000000000005</v>
      </c>
      <c r="D27" s="88">
        <f t="shared" si="0"/>
        <v>1.9074603621230945E-3</v>
      </c>
      <c r="E27" s="53"/>
    </row>
    <row r="28" spans="1:5" ht="15.75" customHeight="1" x14ac:dyDescent="0.3">
      <c r="C28" s="95">
        <v>618.44000000000005</v>
      </c>
      <c r="D28" s="88">
        <f t="shared" si="0"/>
        <v>1.1706506304761883E-2</v>
      </c>
      <c r="E28" s="53"/>
    </row>
    <row r="29" spans="1:5" ht="15.75" customHeight="1" x14ac:dyDescent="0.3">
      <c r="C29" s="95">
        <v>607.27</v>
      </c>
      <c r="D29" s="88">
        <f t="shared" si="0"/>
        <v>-6.5665059121455989E-3</v>
      </c>
      <c r="E29" s="53"/>
    </row>
    <row r="30" spans="1:5" ht="15.75" customHeight="1" x14ac:dyDescent="0.3">
      <c r="C30" s="95">
        <v>613.4</v>
      </c>
      <c r="D30" s="88">
        <f t="shared" si="0"/>
        <v>3.4615661460139402E-3</v>
      </c>
      <c r="E30" s="53"/>
    </row>
    <row r="31" spans="1:5" ht="15.75" customHeight="1" x14ac:dyDescent="0.3">
      <c r="C31" s="95">
        <v>611.82000000000005</v>
      </c>
      <c r="D31" s="88">
        <f t="shared" si="0"/>
        <v>8.7684284227962492E-4</v>
      </c>
      <c r="E31" s="53"/>
    </row>
    <row r="32" spans="1:5" ht="15.75" customHeight="1" x14ac:dyDescent="0.3">
      <c r="C32" s="95">
        <v>615.48</v>
      </c>
      <c r="D32" s="88">
        <f t="shared" si="0"/>
        <v>6.8642398623226294E-3</v>
      </c>
      <c r="E32" s="53"/>
    </row>
    <row r="33" spans="1:7" ht="15.75" customHeight="1" x14ac:dyDescent="0.3">
      <c r="C33" s="95">
        <v>611.71</v>
      </c>
      <c r="D33" s="88">
        <f t="shared" si="0"/>
        <v>6.9689375151328115E-4</v>
      </c>
      <c r="E33" s="53"/>
    </row>
    <row r="34" spans="1:7" ht="15.75" customHeight="1" x14ac:dyDescent="0.3">
      <c r="C34" s="95">
        <v>606.85</v>
      </c>
      <c r="D34" s="88">
        <f t="shared" si="0"/>
        <v>-7.2535842587078498E-3</v>
      </c>
      <c r="E34" s="53"/>
    </row>
    <row r="35" spans="1:7" ht="15.75" customHeight="1" x14ac:dyDescent="0.3">
      <c r="C35" s="95">
        <v>608.16999999999996</v>
      </c>
      <c r="D35" s="88">
        <f t="shared" si="0"/>
        <v>-5.0941951695120972E-3</v>
      </c>
      <c r="E35" s="53"/>
    </row>
    <row r="36" spans="1:7" ht="15.75" customHeight="1" x14ac:dyDescent="0.3">
      <c r="C36" s="95">
        <v>617.47</v>
      </c>
      <c r="D36" s="88">
        <f t="shared" si="0"/>
        <v>1.0119682504367913E-2</v>
      </c>
      <c r="E36" s="53"/>
    </row>
    <row r="37" spans="1:7" ht="15.75" customHeight="1" x14ac:dyDescent="0.3">
      <c r="C37" s="95">
        <v>615.6</v>
      </c>
      <c r="D37" s="88">
        <f t="shared" si="0"/>
        <v>7.0605479613404425E-3</v>
      </c>
      <c r="E37" s="53"/>
    </row>
    <row r="38" spans="1:7" ht="15.75" customHeight="1" x14ac:dyDescent="0.3">
      <c r="C38" s="95">
        <v>618.96</v>
      </c>
      <c r="D38" s="88">
        <f t="shared" si="0"/>
        <v>1.2557174733839009E-2</v>
      </c>
      <c r="E38" s="53"/>
    </row>
    <row r="39" spans="1:7" ht="15.75" customHeight="1" x14ac:dyDescent="0.3">
      <c r="C39" s="95">
        <v>607.48</v>
      </c>
      <c r="D39" s="88">
        <f t="shared" si="0"/>
        <v>-6.2229667388643802E-3</v>
      </c>
      <c r="E39" s="53"/>
    </row>
    <row r="40" spans="1:7" ht="15.75" customHeight="1" x14ac:dyDescent="0.3">
      <c r="C40" s="95">
        <v>601.52</v>
      </c>
      <c r="D40" s="88">
        <f t="shared" si="0"/>
        <v>-1.597293565674876E-2</v>
      </c>
      <c r="E40" s="53"/>
    </row>
    <row r="41" spans="1:7" ht="15.75" customHeight="1" x14ac:dyDescent="0.3">
      <c r="C41" s="95">
        <v>605.13</v>
      </c>
      <c r="D41" s="88">
        <f t="shared" si="0"/>
        <v>-1.0067333677963102E-2</v>
      </c>
      <c r="E41" s="53"/>
    </row>
    <row r="42" spans="1:7" ht="15.75" customHeight="1" x14ac:dyDescent="0.3">
      <c r="C42" s="95">
        <v>602.22</v>
      </c>
      <c r="D42" s="88">
        <f t="shared" si="0"/>
        <v>-1.4827805079144824E-2</v>
      </c>
      <c r="E42" s="53"/>
    </row>
    <row r="43" spans="1:7" ht="16.5" customHeight="1" x14ac:dyDescent="0.3">
      <c r="C43" s="96">
        <v>614.36</v>
      </c>
      <c r="D43" s="89">
        <f t="shared" si="0"/>
        <v>5.0320309381564413E-3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12225.68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611.28399999999999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611.28399999999999</v>
      </c>
      <c r="C49" s="93">
        <f>-IF(C46&lt;=80,10%,IF(C46&lt;250,7.5%,5%))</f>
        <v>-0.05</v>
      </c>
      <c r="D49" s="81">
        <f>IF(C46&lt;=80,C46*0.9,IF(C46&lt;250,C46*0.925,C46*0.95))</f>
        <v>580.71979999999996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641.84820000000002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133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>
        <v>42689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42690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133</v>
      </c>
      <c r="C26" s="298"/>
    </row>
    <row r="27" spans="1:14" ht="26.25" customHeight="1" x14ac:dyDescent="0.4">
      <c r="A27" s="109" t="s">
        <v>48</v>
      </c>
      <c r="B27" s="304" t="s">
        <v>134</v>
      </c>
      <c r="C27" s="304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9334160</v>
      </c>
      <c r="E38" s="133">
        <f>IF(ISBLANK(D38),"-",$D$48/$D$45*D38)</f>
        <v>8696422.3602484465</v>
      </c>
      <c r="F38" s="132">
        <v>8725987</v>
      </c>
      <c r="G38" s="134">
        <f>IF(ISBLANK(F38),"-",$D$48/$F$45*F38)</f>
        <v>8588569.8818897642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9316385</v>
      </c>
      <c r="E39" s="138">
        <f>IF(ISBLANK(D39),"-",$D$48/$D$45*D39)</f>
        <v>8679861.8012422342</v>
      </c>
      <c r="F39" s="137">
        <v>8681429</v>
      </c>
      <c r="G39" s="139">
        <f>IF(ISBLANK(F39),"-",$D$48/$F$45*F39)</f>
        <v>8544713.582677165</v>
      </c>
      <c r="I39" s="315">
        <f>ABS((F43/D43*D42)-F42)/D42</f>
        <v>1.2626826645733271E-2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9309991</v>
      </c>
      <c r="E40" s="138">
        <f>IF(ISBLANK(D40),"-",$D$48/$D$45*D40)</f>
        <v>8673904.6583850924</v>
      </c>
      <c r="F40" s="137">
        <v>8706523</v>
      </c>
      <c r="G40" s="139">
        <f>IF(ISBLANK(F40),"-",$D$48/$F$45*F40)</f>
        <v>8569412.4015748035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9320178.666666666</v>
      </c>
      <c r="E42" s="148">
        <f>AVERAGE(E38:E41)</f>
        <v>8683396.2732919231</v>
      </c>
      <c r="F42" s="147">
        <f>AVERAGE(F38:F41)</f>
        <v>8704646.333333334</v>
      </c>
      <c r="G42" s="149">
        <f>AVERAGE(G38:G41)</f>
        <v>8567565.2887139115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8.0500000000000007</v>
      </c>
      <c r="E43" s="140"/>
      <c r="F43" s="152">
        <v>7.62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8.0500000000000007</v>
      </c>
      <c r="E44" s="155"/>
      <c r="F44" s="154">
        <f>F43*$B$34</f>
        <v>7.62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</v>
      </c>
      <c r="C45" s="153" t="s">
        <v>77</v>
      </c>
      <c r="D45" s="157">
        <f>D44*$B$30/100</f>
        <v>8.0500000000000007</v>
      </c>
      <c r="E45" s="158"/>
      <c r="F45" s="157">
        <f>F44*$B$30/100</f>
        <v>7.62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0.32200000000000001</v>
      </c>
      <c r="E46" s="160"/>
      <c r="F46" s="161">
        <f>F45/$B$45</f>
        <v>0.30480000000000002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7.5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7.5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8625480.7810029183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7.5783724887179028E-3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Ethambutol HCL 400 mg</v>
      </c>
    </row>
    <row r="56" spans="1:12" ht="26.25" customHeight="1" x14ac:dyDescent="0.4">
      <c r="A56" s="177" t="s">
        <v>87</v>
      </c>
      <c r="B56" s="178">
        <v>400</v>
      </c>
      <c r="C56" s="99" t="str">
        <f>B20</f>
        <v>Ethambutol Hydrochloride USP</v>
      </c>
      <c r="H56" s="179"/>
    </row>
    <row r="57" spans="1:12" ht="18.75" x14ac:dyDescent="0.3">
      <c r="A57" s="176" t="s">
        <v>88</v>
      </c>
      <c r="B57" s="247">
        <f>Uniformity!C46</f>
        <v>611.28399999999999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20" t="s">
        <v>94</v>
      </c>
      <c r="D60" s="323">
        <v>759.36</v>
      </c>
      <c r="E60" s="182">
        <v>1</v>
      </c>
      <c r="F60" s="183">
        <v>8304504</v>
      </c>
      <c r="G60" s="248">
        <f>IF(ISBLANK(F60),"-",(F60/$D$50*$D$47*$B$68)*($B$57/$D$60))</f>
        <v>387.52141131499917</v>
      </c>
      <c r="H60" s="266">
        <f t="shared" ref="H60:H71" si="0">IF(ISBLANK(F60),"-",(G60/$B$56)*100)</f>
        <v>96.880352828749793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8274772</v>
      </c>
      <c r="G61" s="249">
        <f>IF(ISBLANK(F61),"-",(F61/$D$50*$D$47*$B$68)*($B$57/$D$60))</f>
        <v>386.13399713575166</v>
      </c>
      <c r="H61" s="267">
        <f t="shared" si="0"/>
        <v>96.533499283937914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8237419</v>
      </c>
      <c r="G62" s="249">
        <f>IF(ISBLANK(F62),"-",(F62/$D$50*$D$47*$B$68)*($B$57/$D$60))</f>
        <v>384.39095657886241</v>
      </c>
      <c r="H62" s="267">
        <f t="shared" si="0"/>
        <v>96.097739144715604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756.91</v>
      </c>
      <c r="E64" s="182">
        <v>1</v>
      </c>
      <c r="F64" s="183">
        <v>8194418</v>
      </c>
      <c r="G64" s="248">
        <f>IF(ISBLANK(F64),"-",(F64/$D$50*$D$47*$B$68)*($B$57/$D$64))</f>
        <v>383.62207644513489</v>
      </c>
      <c r="H64" s="266">
        <f t="shared" si="0"/>
        <v>95.905519111283724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8192513</v>
      </c>
      <c r="G65" s="249">
        <f>IF(ISBLANK(F65),"-",(F65/$D$50*$D$47*$B$68)*($B$57/$D$64))</f>
        <v>383.53289377766197</v>
      </c>
      <c r="H65" s="267">
        <f t="shared" si="0"/>
        <v>95.883223444415492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8392880</v>
      </c>
      <c r="G66" s="249">
        <f>IF(ISBLANK(F66),"-",(F66/$D$50*$D$47*$B$68)*($B$57/$D$64))</f>
        <v>392.91308460891844</v>
      </c>
      <c r="H66" s="267">
        <f t="shared" si="0"/>
        <v>98.22827115222961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1666.6666666666667</v>
      </c>
      <c r="C68" s="320" t="s">
        <v>104</v>
      </c>
      <c r="D68" s="323">
        <v>766.55</v>
      </c>
      <c r="E68" s="182">
        <v>1</v>
      </c>
      <c r="F68" s="183">
        <v>8377535</v>
      </c>
      <c r="G68" s="248">
        <f>IF(ISBLANK(F68),"-",(F68/$D$50*$D$47*$B$68)*($B$57/$D$68))</f>
        <v>387.26253499042457</v>
      </c>
      <c r="H68" s="267">
        <f t="shared" si="0"/>
        <v>96.815633747606142</v>
      </c>
    </row>
    <row r="69" spans="1:8" ht="27" customHeight="1" x14ac:dyDescent="0.4">
      <c r="A69" s="172" t="s">
        <v>105</v>
      </c>
      <c r="B69" s="189">
        <f>(D47*B68)/B56*B57</f>
        <v>764.10500000000002</v>
      </c>
      <c r="C69" s="321"/>
      <c r="D69" s="324"/>
      <c r="E69" s="184">
        <v>2</v>
      </c>
      <c r="F69" s="137">
        <v>8339717</v>
      </c>
      <c r="G69" s="249">
        <f>IF(ISBLANK(F69),"-",(F69/$D$50*$D$47*$B$68)*($B$57/$D$68))</f>
        <v>385.51434837607229</v>
      </c>
      <c r="H69" s="267">
        <f t="shared" si="0"/>
        <v>96.378587094018073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8301315</v>
      </c>
      <c r="G70" s="249">
        <f>IF(ISBLANK(F70),"-",(F70/$D$50*$D$47*$B$68)*($B$57/$D$68))</f>
        <v>383.73916559632835</v>
      </c>
      <c r="H70" s="267">
        <f t="shared" si="0"/>
        <v>95.934791399082087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386.07005209157268</v>
      </c>
      <c r="H72" s="269">
        <f>AVERAGE(H60:H71)</f>
        <v>96.517513022893169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7.735487792495054E-3</v>
      </c>
      <c r="H73" s="253">
        <f>STDEV(H60:H71)/H72</f>
        <v>7.735487792495054E-3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Ethambutol Hydrochloride USP</v>
      </c>
      <c r="D76" s="328"/>
      <c r="E76" s="198" t="s">
        <v>108</v>
      </c>
      <c r="F76" s="198"/>
      <c r="G76" s="285">
        <f>H72</f>
        <v>96.517513022893169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Ethambutol Hydrochloride USP</v>
      </c>
      <c r="C79" s="314"/>
    </row>
    <row r="80" spans="1:8" ht="26.25" customHeight="1" x14ac:dyDescent="0.4">
      <c r="A80" s="109" t="s">
        <v>48</v>
      </c>
      <c r="B80" s="314" t="str">
        <f>B27</f>
        <v>E12-3</v>
      </c>
      <c r="C80" s="314"/>
    </row>
    <row r="81" spans="1:12" ht="27" customHeight="1" x14ac:dyDescent="0.4">
      <c r="A81" s="109" t="s">
        <v>6</v>
      </c>
      <c r="B81" s="201">
        <f>B28</f>
        <v>100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9334160</v>
      </c>
      <c r="E91" s="133">
        <f>IF(ISBLANK(D91),"-",$D$101/$D$98*D91)</f>
        <v>9662691.5113871619</v>
      </c>
      <c r="F91" s="132">
        <v>8725987</v>
      </c>
      <c r="G91" s="134">
        <f>IF(ISBLANK(F91),"-",$D$101/$F$98*F91)</f>
        <v>9542855.4243219588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9316385</v>
      </c>
      <c r="E92" s="138">
        <f>IF(ISBLANK(D92),"-",$D$101/$D$98*D92)</f>
        <v>9644290.8902691491</v>
      </c>
      <c r="F92" s="137">
        <v>8681429</v>
      </c>
      <c r="G92" s="139">
        <f>IF(ISBLANK(F92),"-",$D$101/$F$98*F92)</f>
        <v>9494126.2029746268</v>
      </c>
      <c r="I92" s="315">
        <f>ABS((F96/D96*D95)-F95)/D95</f>
        <v>1.2626826645733271E-2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9309991</v>
      </c>
      <c r="E93" s="138">
        <f>IF(ISBLANK(D93),"-",$D$101/$D$98*D93)</f>
        <v>9637671.8426501025</v>
      </c>
      <c r="F93" s="137">
        <v>8706523</v>
      </c>
      <c r="G93" s="139">
        <f>IF(ISBLANK(F93),"-",$D$101/$F$98*F93)</f>
        <v>9521569.3350831121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9320178.666666666</v>
      </c>
      <c r="E95" s="148">
        <f>AVERAGE(E91:E94)</f>
        <v>9648218.0814354718</v>
      </c>
      <c r="F95" s="211">
        <f>AVERAGE(F91:F94)</f>
        <v>8704646.333333334</v>
      </c>
      <c r="G95" s="212">
        <f>AVERAGE(G91:G94)</f>
        <v>9519516.9874598999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8.0500000000000007</v>
      </c>
      <c r="E96" s="140"/>
      <c r="F96" s="152">
        <v>7.62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8.0500000000000007</v>
      </c>
      <c r="E97" s="155"/>
      <c r="F97" s="154">
        <f>F96*$B$87</f>
        <v>7.62</v>
      </c>
    </row>
    <row r="98" spans="1:10" ht="19.5" customHeight="1" x14ac:dyDescent="0.3">
      <c r="A98" s="124" t="s">
        <v>76</v>
      </c>
      <c r="B98" s="217">
        <f>(B97/B96)*(B95/B94)*(B93/B92)*(B91/B90)*B89</f>
        <v>25</v>
      </c>
      <c r="C98" s="215" t="s">
        <v>115</v>
      </c>
      <c r="D98" s="218">
        <f>D97*$B$83/100</f>
        <v>8.0500000000000007</v>
      </c>
      <c r="E98" s="158"/>
      <c r="F98" s="157">
        <f>F97*$B$83/100</f>
        <v>7.62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0.32200000000000001</v>
      </c>
      <c r="E99" s="158"/>
      <c r="F99" s="161">
        <f>F98/$B$98</f>
        <v>0.30480000000000002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0.33333333333333331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8.3333333333333321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8.3333333333333321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9583867.5344476849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7.5783724887179774E-3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15</v>
      </c>
      <c r="C108" s="275">
        <v>1</v>
      </c>
      <c r="D108" s="276">
        <v>8969656</v>
      </c>
      <c r="E108" s="250">
        <f t="shared" ref="E108:E113" si="1">IF(ISBLANK(D108),"-",D108/$D$103*$D$100*$B$116)</f>
        <v>374.36477362651345</v>
      </c>
      <c r="F108" s="277">
        <f t="shared" ref="F108:F113" si="2">IF(ISBLANK(D108), "-", (E108/$B$56)*100)</f>
        <v>93.591193406628364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73">
        <v>8969908</v>
      </c>
      <c r="E109" s="251">
        <f t="shared" si="1"/>
        <v>374.37529130109925</v>
      </c>
      <c r="F109" s="278">
        <f t="shared" si="2"/>
        <v>93.593822825274813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9046193</v>
      </c>
      <c r="E110" s="251">
        <f t="shared" si="1"/>
        <v>377.55918338749569</v>
      </c>
      <c r="F110" s="278">
        <f t="shared" si="2"/>
        <v>94.389795846873923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9014534</v>
      </c>
      <c r="E111" s="251">
        <f t="shared" si="1"/>
        <v>376.2378379124583</v>
      </c>
      <c r="F111" s="278">
        <f t="shared" si="2"/>
        <v>94.059459478114576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9011623</v>
      </c>
      <c r="E112" s="251">
        <f t="shared" si="1"/>
        <v>376.11634207627168</v>
      </c>
      <c r="F112" s="278">
        <f t="shared" si="2"/>
        <v>94.02908551906792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9041531</v>
      </c>
      <c r="E113" s="252">
        <f t="shared" si="1"/>
        <v>377.36460640765983</v>
      </c>
      <c r="F113" s="279">
        <f t="shared" si="2"/>
        <v>94.341151601914959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376.00300578524974</v>
      </c>
      <c r="F115" s="281">
        <f>AVERAGE(F108:F113)</f>
        <v>94.000751446312435</v>
      </c>
    </row>
    <row r="116" spans="1:10" ht="27" customHeight="1" x14ac:dyDescent="0.4">
      <c r="A116" s="124" t="s">
        <v>103</v>
      </c>
      <c r="B116" s="156">
        <f>(B115/B114)*(B113/B112)*(B111/B110)*(B109/B108)*B107</f>
        <v>1200</v>
      </c>
      <c r="C116" s="234"/>
      <c r="D116" s="258" t="s">
        <v>84</v>
      </c>
      <c r="E116" s="256">
        <f>STDEV(E108:E113)/E115</f>
        <v>3.6999146144532976E-3</v>
      </c>
      <c r="F116" s="235">
        <f>STDEV(F108:F113)/F115</f>
        <v>3.6999146144532976E-3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374.36477362651345</v>
      </c>
      <c r="F119" s="282">
        <f>MIN(F108:F113)</f>
        <v>93.591193406628364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377.55918338749569</v>
      </c>
      <c r="F120" s="283">
        <f>MAX(F108:F113)</f>
        <v>94.389795846873923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Ethambutol Hydrochloride USP</v>
      </c>
      <c r="D124" s="328"/>
      <c r="E124" s="198" t="s">
        <v>127</v>
      </c>
      <c r="F124" s="198"/>
      <c r="G124" s="284">
        <f>F115</f>
        <v>94.000751446312435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93.591193406628364</v>
      </c>
      <c r="E125" s="209" t="s">
        <v>130</v>
      </c>
      <c r="F125" s="284">
        <f>MAX(F108:F113)</f>
        <v>94.389795846873923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Ethambutol Hydrochloride</vt:lpstr>
      <vt:lpstr>'Ethambutol Hydrochloride'!Print_Area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2016-11-16T07:51:50Z</cp:lastPrinted>
  <dcterms:created xsi:type="dcterms:W3CDTF">2005-07-05T10:19:27Z</dcterms:created>
  <dcterms:modified xsi:type="dcterms:W3CDTF">2016-11-16T07:51:54Z</dcterms:modified>
</cp:coreProperties>
</file>