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assay" sheetId="1" r:id="rId1"/>
    <sheet name="Uniformity" sheetId="2" r:id="rId2"/>
    <sheet name="tenofovir DF" sheetId="3" r:id="rId3"/>
    <sheet name="Lamivudine" sheetId="4" r:id="rId4"/>
    <sheet name="SST diss" sheetId="5" r:id="rId5"/>
  </sheets>
  <definedNames>
    <definedName name="_xlnm.Print_Area" localSheetId="3">Lamivudine!$A$1:$I$132</definedName>
    <definedName name="_xlnm.Print_Area" localSheetId="2">'tenofovir DF'!$A$1:$I$131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42" i="1" l="1"/>
  <c r="B21" i="1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I39" i="4" s="1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D44" i="3"/>
  <c r="F42" i="3"/>
  <c r="D42" i="3"/>
  <c r="B34" i="3"/>
  <c r="F44" i="3" s="1"/>
  <c r="B30" i="3"/>
  <c r="D50" i="2"/>
  <c r="D49" i="2"/>
  <c r="B49" i="2"/>
  <c r="C46" i="2"/>
  <c r="C50" i="2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E92" i="4" s="1"/>
  <c r="F97" i="4"/>
  <c r="F98" i="4" s="1"/>
  <c r="F99" i="4" s="1"/>
  <c r="D101" i="3"/>
  <c r="I92" i="3"/>
  <c r="B69" i="4"/>
  <c r="F45" i="4"/>
  <c r="F46" i="4" s="1"/>
  <c r="D98" i="4"/>
  <c r="D99" i="4" s="1"/>
  <c r="F97" i="3"/>
  <c r="F98" i="3" s="1"/>
  <c r="F99" i="3" s="1"/>
  <c r="D98" i="3"/>
  <c r="D99" i="3" s="1"/>
  <c r="B69" i="3"/>
  <c r="I39" i="3"/>
  <c r="D45" i="3"/>
  <c r="D46" i="3" s="1"/>
  <c r="F45" i="3"/>
  <c r="F46" i="3" s="1"/>
  <c r="D102" i="3"/>
  <c r="E94" i="3"/>
  <c r="E38" i="3"/>
  <c r="D49" i="3"/>
  <c r="D49" i="4"/>
  <c r="G38" i="4"/>
  <c r="G39" i="4"/>
  <c r="D27" i="2"/>
  <c r="D31" i="2"/>
  <c r="D35" i="2"/>
  <c r="D39" i="2"/>
  <c r="D43" i="2"/>
  <c r="C49" i="2"/>
  <c r="D44" i="4"/>
  <c r="D45" i="4" s="1"/>
  <c r="D46" i="4" s="1"/>
  <c r="E92" i="3" l="1"/>
  <c r="D102" i="4"/>
  <c r="E91" i="4"/>
  <c r="E93" i="4"/>
  <c r="G92" i="4"/>
  <c r="G94" i="4"/>
  <c r="G93" i="4"/>
  <c r="E94" i="4"/>
  <c r="G91" i="4"/>
  <c r="G41" i="4"/>
  <c r="G40" i="4"/>
  <c r="G94" i="3"/>
  <c r="E93" i="3"/>
  <c r="E91" i="3"/>
  <c r="G93" i="3"/>
  <c r="E41" i="3"/>
  <c r="E40" i="3"/>
  <c r="G39" i="3"/>
  <c r="E39" i="3"/>
  <c r="G40" i="3"/>
  <c r="G41" i="3"/>
  <c r="G91" i="3"/>
  <c r="G38" i="3"/>
  <c r="G92" i="3"/>
  <c r="E38" i="4"/>
  <c r="E41" i="4"/>
  <c r="E39" i="4"/>
  <c r="E40" i="4"/>
  <c r="E95" i="4" l="1"/>
  <c r="D103" i="4"/>
  <c r="E108" i="4" s="1"/>
  <c r="D105" i="4"/>
  <c r="G95" i="3"/>
  <c r="E95" i="3"/>
  <c r="G42" i="4"/>
  <c r="G95" i="4"/>
  <c r="E42" i="3"/>
  <c r="D52" i="3"/>
  <c r="D50" i="3"/>
  <c r="G66" i="3" s="1"/>
  <c r="H66" i="3" s="1"/>
  <c r="D103" i="3"/>
  <c r="E112" i="3" s="1"/>
  <c r="F112" i="3" s="1"/>
  <c r="D105" i="3"/>
  <c r="G42" i="3"/>
  <c r="D50" i="4"/>
  <c r="E42" i="4"/>
  <c r="D52" i="4"/>
  <c r="D104" i="4" l="1"/>
  <c r="E109" i="4"/>
  <c r="F109" i="4" s="1"/>
  <c r="E110" i="4"/>
  <c r="F110" i="4" s="1"/>
  <c r="E112" i="4"/>
  <c r="F112" i="4" s="1"/>
  <c r="E111" i="4"/>
  <c r="F111" i="4" s="1"/>
  <c r="E113" i="4"/>
  <c r="F113" i="4" s="1"/>
  <c r="E108" i="3"/>
  <c r="F108" i="3" s="1"/>
  <c r="E109" i="3"/>
  <c r="F109" i="3" s="1"/>
  <c r="E111" i="3"/>
  <c r="F111" i="3" s="1"/>
  <c r="E113" i="3"/>
  <c r="F113" i="3" s="1"/>
  <c r="E110" i="3"/>
  <c r="F110" i="3" s="1"/>
  <c r="G71" i="3"/>
  <c r="H71" i="3" s="1"/>
  <c r="G69" i="3"/>
  <c r="H69" i="3" s="1"/>
  <c r="G65" i="3"/>
  <c r="H65" i="3" s="1"/>
  <c r="G67" i="3"/>
  <c r="H67" i="3" s="1"/>
  <c r="G60" i="3"/>
  <c r="G68" i="3"/>
  <c r="H68" i="3" s="1"/>
  <c r="G62" i="3"/>
  <c r="H62" i="3" s="1"/>
  <c r="G61" i="3"/>
  <c r="H61" i="3" s="1"/>
  <c r="G70" i="3"/>
  <c r="H70" i="3" s="1"/>
  <c r="G64" i="3"/>
  <c r="H64" i="3" s="1"/>
  <c r="G63" i="3"/>
  <c r="H63" i="3" s="1"/>
  <c r="D51" i="3"/>
  <c r="D104" i="3"/>
  <c r="F108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H60" i="3"/>
  <c r="E117" i="4" l="1"/>
  <c r="E120" i="4"/>
  <c r="E115" i="4"/>
  <c r="E116" i="4" s="1"/>
  <c r="E119" i="4"/>
  <c r="E119" i="3"/>
  <c r="E115" i="3"/>
  <c r="E116" i="3" s="1"/>
  <c r="E117" i="3"/>
  <c r="E120" i="3"/>
  <c r="G74" i="3"/>
  <c r="G72" i="3"/>
  <c r="G73" i="3" s="1"/>
  <c r="H74" i="3"/>
  <c r="H72" i="3"/>
  <c r="D125" i="4"/>
  <c r="F115" i="4"/>
  <c r="F119" i="4"/>
  <c r="F125" i="4"/>
  <c r="F120" i="4"/>
  <c r="F117" i="4"/>
  <c r="F119" i="3"/>
  <c r="F125" i="3"/>
  <c r="F120" i="3"/>
  <c r="F117" i="3"/>
  <c r="D125" i="3"/>
  <c r="F115" i="3"/>
  <c r="G74" i="4"/>
  <c r="G72" i="4"/>
  <c r="G73" i="4" s="1"/>
  <c r="H60" i="4"/>
  <c r="H74" i="4" l="1"/>
  <c r="H72" i="4"/>
  <c r="G124" i="4"/>
  <c r="F116" i="4"/>
  <c r="G124" i="3"/>
  <c r="F116" i="3"/>
  <c r="G76" i="3"/>
  <c r="H73" i="3"/>
  <c r="G76" i="4" l="1"/>
  <c r="H73" i="4"/>
</calcChain>
</file>

<file path=xl/sharedStrings.xml><?xml version="1.0" encoding="utf-8"?>
<sst xmlns="http://schemas.openxmlformats.org/spreadsheetml/2006/main" count="450" uniqueCount="135">
  <si>
    <t>HPLC System Suitability Report</t>
  </si>
  <si>
    <t>Analysis Data</t>
  </si>
  <si>
    <t>Assay</t>
  </si>
  <si>
    <t>Sample(s)</t>
  </si>
  <si>
    <t>Reference Substance:</t>
  </si>
  <si>
    <t>LAMIVUDINE AND TENOFOVIR DISOPROXIL FUMARATE TABLETS</t>
  </si>
  <si>
    <t>% age Purity:</t>
  </si>
  <si>
    <t>NDQB201609121</t>
  </si>
  <si>
    <t>Weight (mg):</t>
  </si>
  <si>
    <t xml:space="preserve">TENOFOVIRDISOPROXIL FUMARITE AND LAMIVUDINE  </t>
  </si>
  <si>
    <t>Standard Conc (mg/mL):</t>
  </si>
  <si>
    <t xml:space="preserve">Each film coated tablet contains  Tenofovir Disoproxil Fumarate equivalent to Tenofovir disoproxil 300mg and Lamivudine 300mg  </t>
  </si>
  <si>
    <t>2016-09-30 11:48:48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</si>
  <si>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</si>
  <si>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</si>
  <si>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</si>
  <si>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</si>
  <si>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</si>
  <si>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</si>
  <si>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</si>
  <si>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</si>
  <si>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</si>
  <si>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</si>
  <si>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</si>
  <si>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</si>
  <si>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</si>
  <si>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</si>
  <si>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</si>
  <si>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</si>
  <si>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</si>
  <si>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</si>
  <si>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</si>
  <si>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</si>
  <si>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</si>
  <si>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</si>
  <si>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</si>
  <si>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</si>
  <si>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</si>
  <si>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</si>
  <si>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</si>
  <si>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</si>
  <si>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</si>
  <si>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</si>
  <si>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</si>
  <si>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</si>
  <si>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</si>
  <si>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</si>
  <si>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</si>
  <si>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</si>
  <si>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</si>
  <si>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</si>
  <si>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</si>
  <si>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</si>
  <si>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</si>
  <si>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</si>
  <si>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</si>
  <si>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</si>
  <si>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</si>
  <si>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</si>
  <si>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</si>
  <si>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</si>
  <si>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</si>
  <si>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</si>
  <si>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</si>
  <si>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</si>
  <si>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</si>
  <si>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</si>
  <si>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</si>
  <si>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</si>
  <si>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</si>
  <si>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</si>
  <si>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</si>
  <si>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</si>
  <si>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</si>
  <si>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</si>
  <si>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</si>
  <si>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</si>
  <si>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</si>
  <si>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</si>
  <si>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</si>
  <si>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</si>
  <si>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</si>
  <si>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</si>
  <si>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</si>
  <si>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</si>
  <si>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</si>
  <si>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</si>
  <si>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</si>
  <si>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</si>
  <si>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</si>
  <si>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</si>
  <si>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</si>
  <si>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</si>
  <si>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</si>
  <si>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</si>
  <si>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</si>
  <si>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</si>
  <si>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</si>
  <si>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</si>
  <si>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</si>
  <si>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</si>
  <si>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</si>
  <si>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</si>
  <si>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</si>
  <si>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</si>
  <si>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</si>
  <si>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</si>
  <si>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</si>
  <si>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</si>
  <si>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</si>
  <si>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</si>
  <si>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</si>
  <si>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</si>
  <si>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</si>
  <si>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</si>
  <si>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</si>
  <si>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</si>
  <si>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</si>
  <si>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</si>
  <si>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</si>
  <si>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</si>
  <si>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</si>
  <si>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</si>
  <si>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</si>
  <si>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</si>
  <si>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</si>
  <si>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</si>
  <si>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</si>
  <si>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</si>
  <si>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</si>
  <si>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DF</t>
  </si>
  <si>
    <t>lamivudine</t>
  </si>
  <si>
    <t>T11 8</t>
  </si>
  <si>
    <t>Lamivudine</t>
  </si>
  <si>
    <t>L 10M388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</si>
</sst>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63" sqref="B6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13.88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B20/50*10/25</f>
        <v>0.11104000000000001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25745894</v>
      </c>
      <c r="C24" s="18">
        <v>119507.5</v>
      </c>
      <c r="D24" s="19">
        <v>1.1000000000000001</v>
      </c>
      <c r="E24" s="20">
        <v>6.7</v>
      </c>
    </row>
    <row r="25" spans="1:6" ht="16.5" customHeight="1" x14ac:dyDescent="0.3">
      <c r="A25" s="17">
        <v>2</v>
      </c>
      <c r="B25" s="18">
        <v>25698532</v>
      </c>
      <c r="C25" s="18">
        <v>119634.1</v>
      </c>
      <c r="D25" s="19">
        <v>1.1000000000000001</v>
      </c>
      <c r="E25" s="19">
        <v>6.7</v>
      </c>
    </row>
    <row r="26" spans="1:6" ht="16.5" customHeight="1" x14ac:dyDescent="0.3">
      <c r="A26" s="17">
        <v>3</v>
      </c>
      <c r="B26" s="18">
        <v>25806823</v>
      </c>
      <c r="C26" s="18">
        <v>120380.1</v>
      </c>
      <c r="D26" s="19">
        <v>1.1000000000000001</v>
      </c>
      <c r="E26" s="19">
        <v>6.7</v>
      </c>
    </row>
    <row r="27" spans="1:6" ht="16.5" customHeight="1" x14ac:dyDescent="0.3">
      <c r="A27" s="17">
        <v>4</v>
      </c>
      <c r="B27" s="18">
        <v>25741654</v>
      </c>
      <c r="C27" s="18">
        <v>120678.7</v>
      </c>
      <c r="D27" s="19">
        <v>1.1000000000000001</v>
      </c>
      <c r="E27" s="19">
        <v>6.7</v>
      </c>
    </row>
    <row r="28" spans="1:6" ht="16.5" customHeight="1" x14ac:dyDescent="0.3">
      <c r="A28" s="17">
        <v>5</v>
      </c>
      <c r="B28" s="18">
        <v>25793136</v>
      </c>
      <c r="C28" s="18">
        <v>120418</v>
      </c>
      <c r="D28" s="19">
        <v>1.1000000000000001</v>
      </c>
      <c r="E28" s="19">
        <v>6.7</v>
      </c>
    </row>
    <row r="29" spans="1:6" ht="16.5" customHeight="1" x14ac:dyDescent="0.3">
      <c r="A29" s="17">
        <v>6</v>
      </c>
      <c r="B29" s="21">
        <v>25748008</v>
      </c>
      <c r="C29" s="21">
        <v>120762.6</v>
      </c>
      <c r="D29" s="22">
        <v>1.1000000000000001</v>
      </c>
      <c r="E29" s="22">
        <v>6.7</v>
      </c>
    </row>
    <row r="30" spans="1:6" ht="16.5" customHeight="1" x14ac:dyDescent="0.3">
      <c r="A30" s="23" t="s">
        <v>18</v>
      </c>
      <c r="B30" s="24">
        <f>AVERAGE(B24:B29)</f>
        <v>25755674.5</v>
      </c>
      <c r="C30" s="25">
        <f>AVERAGE(C24:C29)</f>
        <v>120230.16666666667</v>
      </c>
      <c r="D30" s="26">
        <f>AVERAGE(D24:D29)</f>
        <v>1.0999999999999999</v>
      </c>
      <c r="E30" s="26">
        <f>AVERAGE(E24:E29)</f>
        <v>6.7</v>
      </c>
    </row>
    <row r="31" spans="1:6" ht="16.5" customHeight="1" x14ac:dyDescent="0.3">
      <c r="A31" s="27" t="s">
        <v>19</v>
      </c>
      <c r="B31" s="28">
        <f>(STDEV(B24:B29)/B30)</f>
        <v>1.5172932214038131E-3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17.850000000000001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B41/50*10/25</f>
        <v>0.14280000000000001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86851998</v>
      </c>
      <c r="C45" s="18">
        <v>12096.8</v>
      </c>
      <c r="D45" s="19">
        <v>1.1000000000000001</v>
      </c>
      <c r="E45" s="20">
        <v>2.2000000000000002</v>
      </c>
    </row>
    <row r="46" spans="1:6" ht="16.5" customHeight="1" x14ac:dyDescent="0.3">
      <c r="A46" s="17">
        <v>2</v>
      </c>
      <c r="B46" s="18">
        <v>86812502</v>
      </c>
      <c r="C46" s="18">
        <v>11951.5</v>
      </c>
      <c r="D46" s="19">
        <v>1.2</v>
      </c>
      <c r="E46" s="19">
        <v>2.2000000000000002</v>
      </c>
    </row>
    <row r="47" spans="1:6" ht="16.5" customHeight="1" x14ac:dyDescent="0.3">
      <c r="A47" s="17">
        <v>3</v>
      </c>
      <c r="B47" s="18">
        <v>87008605</v>
      </c>
      <c r="C47" s="18">
        <v>12072.7</v>
      </c>
      <c r="D47" s="19">
        <v>1.1000000000000001</v>
      </c>
      <c r="E47" s="19">
        <v>2.2000000000000002</v>
      </c>
    </row>
    <row r="48" spans="1:6" ht="16.5" customHeight="1" x14ac:dyDescent="0.3">
      <c r="A48" s="17">
        <v>4</v>
      </c>
      <c r="B48" s="18">
        <v>86816494</v>
      </c>
      <c r="C48" s="18">
        <v>12120.7</v>
      </c>
      <c r="D48" s="19">
        <v>1.1000000000000001</v>
      </c>
      <c r="E48" s="19">
        <v>2.2000000000000002</v>
      </c>
    </row>
    <row r="49" spans="1:7" ht="16.5" customHeight="1" x14ac:dyDescent="0.3">
      <c r="A49" s="17">
        <v>5</v>
      </c>
      <c r="B49" s="18">
        <v>86978023</v>
      </c>
      <c r="C49" s="18">
        <v>12141.3</v>
      </c>
      <c r="D49" s="19">
        <v>1.1000000000000001</v>
      </c>
      <c r="E49" s="19">
        <v>2.2000000000000002</v>
      </c>
    </row>
    <row r="50" spans="1:7" ht="16.5" customHeight="1" x14ac:dyDescent="0.3">
      <c r="A50" s="17">
        <v>6</v>
      </c>
      <c r="B50" s="21">
        <v>86818615</v>
      </c>
      <c r="C50" s="21">
        <v>12007.8</v>
      </c>
      <c r="D50" s="22">
        <v>1.1000000000000001</v>
      </c>
      <c r="E50" s="22">
        <v>2.2000000000000002</v>
      </c>
    </row>
    <row r="51" spans="1:7" ht="16.5" customHeight="1" x14ac:dyDescent="0.3">
      <c r="A51" s="23" t="s">
        <v>18</v>
      </c>
      <c r="B51" s="24">
        <f>AVERAGE(B45:B50)</f>
        <v>86881039.5</v>
      </c>
      <c r="C51" s="25">
        <f>AVERAGE(C45:C50)</f>
        <v>12065.133333333333</v>
      </c>
      <c r="D51" s="26">
        <f>AVERAGE(D45:D50)</f>
        <v>1.1166666666666665</v>
      </c>
      <c r="E51" s="26">
        <f>AVERAGE(E45:E50)</f>
        <v>2.1999999999999997</v>
      </c>
    </row>
    <row r="52" spans="1:7" ht="16.5" customHeight="1" x14ac:dyDescent="0.3">
      <c r="A52" s="27" t="s">
        <v>19</v>
      </c>
      <c r="B52" s="28">
        <f>(STDEV(B45:B50)/B51)</f>
        <v>1.0202098512938882E-3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20" t="s">
        <v>25</v>
      </c>
      <c r="C59" s="52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4" t="s">
        <v>30</v>
      </c>
      <c r="B11" s="525"/>
      <c r="C11" s="525"/>
      <c r="D11" s="525"/>
      <c r="E11" s="525"/>
      <c r="F11" s="526"/>
      <c r="G11" s="91"/>
    </row>
    <row r="12" spans="1:7" ht="16.5" customHeight="1" x14ac:dyDescent="0.3">
      <c r="A12" s="523" t="s">
        <v>31</v>
      </c>
      <c r="B12" s="523"/>
      <c r="C12" s="523"/>
      <c r="D12" s="523"/>
      <c r="E12" s="523"/>
      <c r="F12" s="523"/>
      <c r="G12" s="90"/>
    </row>
    <row r="14" spans="1:7" ht="16.5" customHeight="1" x14ac:dyDescent="0.3">
      <c r="A14" s="528" t="s">
        <v>32</v>
      </c>
      <c r="B14" s="528"/>
      <c r="C14" s="60" t="s">
        <v>5</v>
      </c>
    </row>
    <row r="15" spans="1:7" ht="16.5" customHeight="1" x14ac:dyDescent="0.3">
      <c r="A15" s="528" t="s">
        <v>33</v>
      </c>
      <c r="B15" s="528"/>
      <c r="C15" s="60" t="s">
        <v>7</v>
      </c>
    </row>
    <row r="16" spans="1:7" ht="16.5" customHeight="1" x14ac:dyDescent="0.3">
      <c r="A16" s="528" t="s">
        <v>34</v>
      </c>
      <c r="B16" s="528"/>
      <c r="C16" s="60" t="s">
        <v>9</v>
      </c>
    </row>
    <row r="17" spans="1:5" ht="16.5" customHeight="1" x14ac:dyDescent="0.3">
      <c r="A17" s="528" t="s">
        <v>35</v>
      </c>
      <c r="B17" s="528"/>
      <c r="C17" s="60" t="s">
        <v>11</v>
      </c>
    </row>
    <row r="18" spans="1:5" ht="16.5" customHeight="1" x14ac:dyDescent="0.3">
      <c r="A18" s="528" t="s">
        <v>36</v>
      </c>
      <c r="B18" s="528"/>
      <c r="C18" s="97" t="s">
        <v>12</v>
      </c>
    </row>
    <row r="19" spans="1:5" ht="16.5" customHeight="1" x14ac:dyDescent="0.3">
      <c r="A19" s="528" t="s">
        <v>37</v>
      </c>
      <c r="B19" s="52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23" t="s">
        <v>1</v>
      </c>
      <c r="B21" s="523"/>
      <c r="C21" s="59" t="s">
        <v>38</v>
      </c>
      <c r="D21" s="66"/>
    </row>
    <row r="22" spans="1:5" ht="15.75" customHeight="1" x14ac:dyDescent="0.3">
      <c r="A22" s="527"/>
      <c r="B22" s="527"/>
      <c r="C22" s="57"/>
      <c r="D22" s="527"/>
      <c r="E22" s="527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870.67</v>
      </c>
      <c r="D24" s="87">
        <f t="shared" ref="D24:D43" si="0">(C24-$C$46)/$C$46</f>
        <v>8.8746036891687108E-4</v>
      </c>
      <c r="E24" s="53"/>
    </row>
    <row r="25" spans="1:5" ht="15.75" customHeight="1" x14ac:dyDescent="0.3">
      <c r="C25" s="95">
        <v>868.79</v>
      </c>
      <c r="D25" s="88">
        <f t="shared" si="0"/>
        <v>-1.2737125502069752E-3</v>
      </c>
      <c r="E25" s="53"/>
    </row>
    <row r="26" spans="1:5" ht="15.75" customHeight="1" x14ac:dyDescent="0.3">
      <c r="C26" s="95">
        <v>870.92</v>
      </c>
      <c r="D26" s="88">
        <f t="shared" si="0"/>
        <v>1.1748503847578088E-3</v>
      </c>
      <c r="E26" s="53"/>
    </row>
    <row r="27" spans="1:5" ht="15.75" customHeight="1" x14ac:dyDescent="0.3">
      <c r="C27" s="95">
        <v>857.13</v>
      </c>
      <c r="D27" s="88">
        <f t="shared" si="0"/>
        <v>-1.4677582889028273E-2</v>
      </c>
      <c r="E27" s="53"/>
    </row>
    <row r="28" spans="1:5" ht="15.75" customHeight="1" x14ac:dyDescent="0.3">
      <c r="C28" s="95">
        <v>864.55</v>
      </c>
      <c r="D28" s="88">
        <f t="shared" si="0"/>
        <v>-6.1478472188692896E-3</v>
      </c>
      <c r="E28" s="53"/>
    </row>
    <row r="29" spans="1:5" ht="15.75" customHeight="1" x14ac:dyDescent="0.3">
      <c r="C29" s="95">
        <v>863.53</v>
      </c>
      <c r="D29" s="88">
        <f t="shared" si="0"/>
        <v>-7.3203984835002942E-3</v>
      </c>
      <c r="E29" s="53"/>
    </row>
    <row r="30" spans="1:5" ht="15.75" customHeight="1" x14ac:dyDescent="0.3">
      <c r="C30" s="95">
        <v>872.71</v>
      </c>
      <c r="D30" s="88">
        <f t="shared" si="0"/>
        <v>3.2325628981790117E-3</v>
      </c>
      <c r="E30" s="53"/>
    </row>
    <row r="31" spans="1:5" ht="15.75" customHeight="1" x14ac:dyDescent="0.3">
      <c r="C31" s="95">
        <v>878.55</v>
      </c>
      <c r="D31" s="88">
        <f t="shared" si="0"/>
        <v>9.9459936682232217E-3</v>
      </c>
      <c r="E31" s="53"/>
    </row>
    <row r="32" spans="1:5" ht="15.75" customHeight="1" x14ac:dyDescent="0.3">
      <c r="C32" s="95">
        <v>857.61</v>
      </c>
      <c r="D32" s="88">
        <f t="shared" si="0"/>
        <v>-1.4125794058613653E-2</v>
      </c>
      <c r="E32" s="53"/>
    </row>
    <row r="33" spans="1:7" ht="15.75" customHeight="1" x14ac:dyDescent="0.3">
      <c r="C33" s="95">
        <v>878.75</v>
      </c>
      <c r="D33" s="88">
        <f t="shared" si="0"/>
        <v>1.0175905680896024E-2</v>
      </c>
      <c r="E33" s="53"/>
    </row>
    <row r="34" spans="1:7" ht="15.75" customHeight="1" x14ac:dyDescent="0.3">
      <c r="C34" s="95">
        <v>870.64</v>
      </c>
      <c r="D34" s="88">
        <f t="shared" si="0"/>
        <v>8.5297356701598986E-4</v>
      </c>
      <c r="E34" s="53"/>
    </row>
    <row r="35" spans="1:7" ht="15.75" customHeight="1" x14ac:dyDescent="0.3">
      <c r="C35" s="95">
        <v>876.02</v>
      </c>
      <c r="D35" s="88">
        <f t="shared" si="0"/>
        <v>7.0376067079129644E-3</v>
      </c>
      <c r="E35" s="53"/>
    </row>
    <row r="36" spans="1:7" ht="15.75" customHeight="1" x14ac:dyDescent="0.3">
      <c r="C36" s="95">
        <v>873.16</v>
      </c>
      <c r="D36" s="88">
        <f t="shared" si="0"/>
        <v>3.749864926692621E-3</v>
      </c>
      <c r="E36" s="53"/>
    </row>
    <row r="37" spans="1:7" ht="15.75" customHeight="1" x14ac:dyDescent="0.3">
      <c r="C37" s="95">
        <v>872.61</v>
      </c>
      <c r="D37" s="88">
        <f t="shared" si="0"/>
        <v>3.1176068918426104E-3</v>
      </c>
      <c r="E37" s="53"/>
    </row>
    <row r="38" spans="1:7" ht="15.75" customHeight="1" x14ac:dyDescent="0.3">
      <c r="C38" s="95">
        <v>875.25</v>
      </c>
      <c r="D38" s="88">
        <f t="shared" si="0"/>
        <v>6.1524454591228971E-3</v>
      </c>
      <c r="E38" s="53"/>
    </row>
    <row r="39" spans="1:7" ht="15.75" customHeight="1" x14ac:dyDescent="0.3">
      <c r="C39" s="95">
        <v>866.51</v>
      </c>
      <c r="D39" s="88">
        <f t="shared" si="0"/>
        <v>-3.8947094946762957E-3</v>
      </c>
      <c r="E39" s="53"/>
    </row>
    <row r="40" spans="1:7" ht="15.75" customHeight="1" x14ac:dyDescent="0.3">
      <c r="C40" s="95">
        <v>872.4</v>
      </c>
      <c r="D40" s="88">
        <f t="shared" si="0"/>
        <v>2.876199278536181E-3</v>
      </c>
      <c r="E40" s="53"/>
    </row>
    <row r="41" spans="1:7" ht="15.75" customHeight="1" x14ac:dyDescent="0.3">
      <c r="C41" s="95">
        <v>867.7</v>
      </c>
      <c r="D41" s="88">
        <f t="shared" si="0"/>
        <v>-2.5267330192733695E-3</v>
      </c>
      <c r="E41" s="53"/>
    </row>
    <row r="42" spans="1:7" ht="15.75" customHeight="1" x14ac:dyDescent="0.3">
      <c r="C42" s="95">
        <v>872.39</v>
      </c>
      <c r="D42" s="88">
        <f t="shared" si="0"/>
        <v>2.8647036779025537E-3</v>
      </c>
      <c r="E42" s="53"/>
    </row>
    <row r="43" spans="1:7" ht="16.5" customHeight="1" x14ac:dyDescent="0.3">
      <c r="C43" s="96">
        <v>868.07</v>
      </c>
      <c r="D43" s="89">
        <f t="shared" si="0"/>
        <v>-2.1013957958287764E-3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17397.96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869.89799999999991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521">
        <f>C46</f>
        <v>869.89799999999991</v>
      </c>
      <c r="C49" s="93">
        <f>-IF(C46&lt;=80,10%,IF(C46&lt;250,7.5%,5%))</f>
        <v>-0.05</v>
      </c>
      <c r="D49" s="81">
        <f>IF(C46&lt;=80,C46*0.9,IF(C46&lt;250,C46*0.925,C46*0.95))</f>
        <v>826.40309999999988</v>
      </c>
    </row>
    <row r="50" spans="1:6" ht="17.25" customHeight="1" x14ac:dyDescent="0.3">
      <c r="B50" s="522"/>
      <c r="C50" s="94">
        <f>IF(C46&lt;=80, 10%, IF(C46&lt;250, 7.5%, 5%))</f>
        <v>0.05</v>
      </c>
      <c r="D50" s="81">
        <f>IF(C46&lt;=80, C46*1.1, IF(C46&lt;250, C46*1.075, C46*1.05))</f>
        <v>913.39289999999994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9" t="s">
        <v>44</v>
      </c>
      <c r="B1" s="529"/>
      <c r="C1" s="529"/>
      <c r="D1" s="529"/>
      <c r="E1" s="529"/>
      <c r="F1" s="529"/>
      <c r="G1" s="529"/>
      <c r="H1" s="529"/>
      <c r="I1" s="529"/>
    </row>
    <row r="2" spans="1:9" ht="18.7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</row>
    <row r="3" spans="1:9" ht="18.7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</row>
    <row r="4" spans="1:9" ht="18.75" customHeight="1" x14ac:dyDescent="0.25">
      <c r="A4" s="529"/>
      <c r="B4" s="529"/>
      <c r="C4" s="529"/>
      <c r="D4" s="529"/>
      <c r="E4" s="529"/>
      <c r="F4" s="529"/>
      <c r="G4" s="529"/>
      <c r="H4" s="529"/>
      <c r="I4" s="529"/>
    </row>
    <row r="5" spans="1:9" ht="18.75" customHeight="1" x14ac:dyDescent="0.25">
      <c r="A5" s="529"/>
      <c r="B5" s="529"/>
      <c r="C5" s="529"/>
      <c r="D5" s="529"/>
      <c r="E5" s="529"/>
      <c r="F5" s="529"/>
      <c r="G5" s="529"/>
      <c r="H5" s="529"/>
      <c r="I5" s="529"/>
    </row>
    <row r="6" spans="1:9" ht="18.75" customHeight="1" x14ac:dyDescent="0.25">
      <c r="A6" s="529"/>
      <c r="B6" s="529"/>
      <c r="C6" s="529"/>
      <c r="D6" s="529"/>
      <c r="E6" s="529"/>
      <c r="F6" s="529"/>
      <c r="G6" s="529"/>
      <c r="H6" s="529"/>
      <c r="I6" s="529"/>
    </row>
    <row r="7" spans="1:9" ht="18.75" customHeight="1" x14ac:dyDescent="0.25">
      <c r="A7" s="529"/>
      <c r="B7" s="529"/>
      <c r="C7" s="529"/>
      <c r="D7" s="529"/>
      <c r="E7" s="529"/>
      <c r="F7" s="529"/>
      <c r="G7" s="529"/>
      <c r="H7" s="529"/>
      <c r="I7" s="529"/>
    </row>
    <row r="8" spans="1:9" x14ac:dyDescent="0.25">
      <c r="A8" s="530" t="s">
        <v>45</v>
      </c>
      <c r="B8" s="530"/>
      <c r="C8" s="530"/>
      <c r="D8" s="530"/>
      <c r="E8" s="530"/>
      <c r="F8" s="530"/>
      <c r="G8" s="530"/>
      <c r="H8" s="530"/>
      <c r="I8" s="530"/>
    </row>
    <row r="9" spans="1:9" x14ac:dyDescent="0.25">
      <c r="A9" s="530"/>
      <c r="B9" s="530"/>
      <c r="C9" s="530"/>
      <c r="D9" s="530"/>
      <c r="E9" s="530"/>
      <c r="F9" s="530"/>
      <c r="G9" s="530"/>
      <c r="H9" s="530"/>
      <c r="I9" s="530"/>
    </row>
    <row r="10" spans="1:9" x14ac:dyDescent="0.25">
      <c r="A10" s="530"/>
      <c r="B10" s="530"/>
      <c r="C10" s="530"/>
      <c r="D10" s="530"/>
      <c r="E10" s="530"/>
      <c r="F10" s="530"/>
      <c r="G10" s="530"/>
      <c r="H10" s="530"/>
      <c r="I10" s="530"/>
    </row>
    <row r="11" spans="1:9" x14ac:dyDescent="0.25">
      <c r="A11" s="530"/>
      <c r="B11" s="530"/>
      <c r="C11" s="530"/>
      <c r="D11" s="530"/>
      <c r="E11" s="530"/>
      <c r="F11" s="530"/>
      <c r="G11" s="530"/>
      <c r="H11" s="530"/>
      <c r="I11" s="530"/>
    </row>
    <row r="12" spans="1:9" x14ac:dyDescent="0.25">
      <c r="A12" s="530"/>
      <c r="B12" s="530"/>
      <c r="C12" s="530"/>
      <c r="D12" s="530"/>
      <c r="E12" s="530"/>
      <c r="F12" s="530"/>
      <c r="G12" s="530"/>
      <c r="H12" s="530"/>
      <c r="I12" s="530"/>
    </row>
    <row r="13" spans="1:9" x14ac:dyDescent="0.25">
      <c r="A13" s="530"/>
      <c r="B13" s="530"/>
      <c r="C13" s="530"/>
      <c r="D13" s="530"/>
      <c r="E13" s="530"/>
      <c r="F13" s="530"/>
      <c r="G13" s="530"/>
      <c r="H13" s="530"/>
      <c r="I13" s="530"/>
    </row>
    <row r="14" spans="1:9" x14ac:dyDescent="0.25">
      <c r="A14" s="530"/>
      <c r="B14" s="530"/>
      <c r="C14" s="530"/>
      <c r="D14" s="530"/>
      <c r="E14" s="530"/>
      <c r="F14" s="530"/>
      <c r="G14" s="530"/>
      <c r="H14" s="530"/>
      <c r="I14" s="530"/>
    </row>
    <row r="15" spans="1:9" ht="19.5" customHeight="1" x14ac:dyDescent="0.3">
      <c r="A15" s="98"/>
    </row>
    <row r="16" spans="1:9" ht="19.5" customHeight="1" x14ac:dyDescent="0.3">
      <c r="A16" s="562" t="s">
        <v>30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46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100" t="s">
        <v>32</v>
      </c>
      <c r="B18" s="561" t="s">
        <v>5</v>
      </c>
      <c r="C18" s="561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66" t="s">
        <v>9</v>
      </c>
      <c r="C20" s="566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66" t="s">
        <v>11</v>
      </c>
      <c r="C21" s="566"/>
      <c r="D21" s="566"/>
      <c r="E21" s="566"/>
      <c r="F21" s="566"/>
      <c r="G21" s="566"/>
      <c r="H21" s="566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61" t="s">
        <v>130</v>
      </c>
      <c r="C26" s="561"/>
    </row>
    <row r="27" spans="1:14" ht="26.25" customHeight="1" x14ac:dyDescent="0.4">
      <c r="A27" s="109" t="s">
        <v>47</v>
      </c>
      <c r="B27" s="567" t="s">
        <v>132</v>
      </c>
      <c r="C27" s="567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48</v>
      </c>
      <c r="B29" s="111">
        <v>0</v>
      </c>
      <c r="C29" s="537" t="s">
        <v>49</v>
      </c>
      <c r="D29" s="538"/>
      <c r="E29" s="538"/>
      <c r="F29" s="538"/>
      <c r="G29" s="539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540" t="s">
        <v>52</v>
      </c>
      <c r="D31" s="541"/>
      <c r="E31" s="541"/>
      <c r="F31" s="541"/>
      <c r="G31" s="541"/>
      <c r="H31" s="542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540" t="s">
        <v>54</v>
      </c>
      <c r="D32" s="541"/>
      <c r="E32" s="541"/>
      <c r="F32" s="541"/>
      <c r="G32" s="541"/>
      <c r="H32" s="54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543" t="s">
        <v>58</v>
      </c>
      <c r="E36" s="568"/>
      <c r="F36" s="543" t="s">
        <v>59</v>
      </c>
      <c r="G36" s="54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25</v>
      </c>
      <c r="C38" s="131">
        <v>1</v>
      </c>
      <c r="D38" s="132">
        <v>25788256</v>
      </c>
      <c r="E38" s="133">
        <f>IF(ISBLANK(D38),"-",$D$48/$D$45*D38)</f>
        <v>28207644.471409071</v>
      </c>
      <c r="F38" s="132">
        <v>27013314</v>
      </c>
      <c r="G38" s="134">
        <f>IF(ISBLANK(F38),"-",$D$48/$F$45*F38)</f>
        <v>28740095.582873952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25769917</v>
      </c>
      <c r="E39" s="138">
        <f>IF(ISBLANK(D39),"-",$D$48/$D$45*D39)</f>
        <v>28187584.953155447</v>
      </c>
      <c r="F39" s="137">
        <v>27138977</v>
      </c>
      <c r="G39" s="139">
        <f>IF(ISBLANK(F39),"-",$D$48/$F$45*F39)</f>
        <v>28873791.383071985</v>
      </c>
      <c r="I39" s="545">
        <f>ABS((F43/D43*D42)-F42)/D42</f>
        <v>2.2672252570891876E-2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25777612</v>
      </c>
      <c r="E40" s="138">
        <f>IF(ISBLANK(D40),"-",$D$48/$D$45*D40)</f>
        <v>28196001.878449172</v>
      </c>
      <c r="F40" s="137">
        <v>27109850</v>
      </c>
      <c r="G40" s="139">
        <f>IF(ISBLANK(F40),"-",$D$48/$F$45*F40)</f>
        <v>28842802.487594649</v>
      </c>
      <c r="I40" s="545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25778595</v>
      </c>
      <c r="E42" s="148">
        <f>AVERAGE(E38:E41)</f>
        <v>28197077.10100456</v>
      </c>
      <c r="F42" s="147">
        <f>AVERAGE(F38:F41)</f>
        <v>27087380.333333332</v>
      </c>
      <c r="G42" s="149">
        <f>AVERAGE(G38:G41)</f>
        <v>28818896.484513532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13.88</v>
      </c>
      <c r="E43" s="140"/>
      <c r="F43" s="152">
        <v>14.27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13.88</v>
      </c>
      <c r="E44" s="155"/>
      <c r="F44" s="154">
        <f>F43*$B$34</f>
        <v>14.27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125</v>
      </c>
      <c r="C45" s="153" t="s">
        <v>76</v>
      </c>
      <c r="D45" s="157">
        <f>D44*$B$30/100</f>
        <v>13.71344</v>
      </c>
      <c r="E45" s="158"/>
      <c r="F45" s="157">
        <f>F44*$B$30/100</f>
        <v>14.09876</v>
      </c>
      <c r="H45" s="150"/>
    </row>
    <row r="46" spans="1:14" ht="19.5" customHeight="1" x14ac:dyDescent="0.3">
      <c r="A46" s="531" t="s">
        <v>77</v>
      </c>
      <c r="B46" s="532"/>
      <c r="C46" s="153" t="s">
        <v>78</v>
      </c>
      <c r="D46" s="159">
        <f>D45/$B$45</f>
        <v>0.10970752</v>
      </c>
      <c r="E46" s="160"/>
      <c r="F46" s="161">
        <f>F45/$B$45</f>
        <v>0.11279008</v>
      </c>
      <c r="H46" s="150"/>
    </row>
    <row r="47" spans="1:14" ht="27" customHeight="1" x14ac:dyDescent="0.4">
      <c r="A47" s="533"/>
      <c r="B47" s="534"/>
      <c r="C47" s="162" t="s">
        <v>79</v>
      </c>
      <c r="D47" s="163">
        <v>0.12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28507986.792759042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1.2049512496220733E-2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 xml:space="preserve">Each film coated tablet contains  Tenofovir Disoproxil Fumarate equivalent to Tenofovir disoproxil 300mg and Lamivudine 300mg  </v>
      </c>
    </row>
    <row r="56" spans="1:12" ht="26.25" customHeight="1" x14ac:dyDescent="0.4">
      <c r="A56" s="177" t="s">
        <v>86</v>
      </c>
      <c r="B56" s="178">
        <v>300</v>
      </c>
      <c r="C56" s="99" t="str">
        <f>B20</f>
        <v xml:space="preserve">TENOFOVIRDISOPROXIL FUMARITE AND LAMIVUDINE  </v>
      </c>
      <c r="H56" s="179"/>
    </row>
    <row r="57" spans="1:12" ht="18.75" x14ac:dyDescent="0.3">
      <c r="A57" s="176" t="s">
        <v>87</v>
      </c>
      <c r="B57" s="247">
        <f>Uniformity!C46</f>
        <v>869.89799999999991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2</v>
      </c>
      <c r="C60" s="548" t="s">
        <v>93</v>
      </c>
      <c r="D60" s="551">
        <v>880.35</v>
      </c>
      <c r="E60" s="182">
        <v>1</v>
      </c>
      <c r="F60" s="183">
        <v>29210734</v>
      </c>
      <c r="G60" s="248">
        <f>IF(ISBLANK(F60),"-",(F60/$D$50*$D$47*$B$68)*($B$57/$D$60))</f>
        <v>303.74570070190623</v>
      </c>
      <c r="H60" s="266">
        <f t="shared" ref="H60:H71" si="0">IF(ISBLANK(F60),"-",(G60/$B$56)*100)</f>
        <v>101.24856690063541</v>
      </c>
      <c r="L60" s="112"/>
    </row>
    <row r="61" spans="1:12" s="14" customFormat="1" ht="26.25" customHeight="1" x14ac:dyDescent="0.4">
      <c r="A61" s="124" t="s">
        <v>94</v>
      </c>
      <c r="B61" s="125">
        <v>25</v>
      </c>
      <c r="C61" s="549"/>
      <c r="D61" s="552"/>
      <c r="E61" s="184">
        <v>2</v>
      </c>
      <c r="F61" s="137">
        <v>28973954</v>
      </c>
      <c r="G61" s="249">
        <f>IF(ISBLANK(F61),"-",(F61/$D$50*$D$47*$B$68)*($B$57/$D$60))</f>
        <v>301.28356103050334</v>
      </c>
      <c r="H61" s="267">
        <f t="shared" si="0"/>
        <v>100.42785367683445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549"/>
      <c r="D62" s="552"/>
      <c r="E62" s="184">
        <v>3</v>
      </c>
      <c r="F62" s="185">
        <v>29515201</v>
      </c>
      <c r="G62" s="249">
        <f>IF(ISBLANK(F62),"-",(F62/$D$50*$D$47*$B$68)*($B$57/$D$60))</f>
        <v>306.91167873777516</v>
      </c>
      <c r="H62" s="267">
        <f t="shared" si="0"/>
        <v>102.30389291259172</v>
      </c>
      <c r="L62" s="112"/>
    </row>
    <row r="63" spans="1:12" ht="27" customHeight="1" x14ac:dyDescent="0.4">
      <c r="A63" s="124" t="s">
        <v>96</v>
      </c>
      <c r="B63" s="125">
        <v>1</v>
      </c>
      <c r="C63" s="558"/>
      <c r="D63" s="55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548" t="s">
        <v>98</v>
      </c>
      <c r="D64" s="551">
        <v>892.35</v>
      </c>
      <c r="E64" s="182">
        <v>1</v>
      </c>
      <c r="F64" s="183">
        <v>29376863</v>
      </c>
      <c r="G64" s="248">
        <f>IF(ISBLANK(F64),"-",(F64/$D$50*$D$47*$B$68)*($B$57/$D$64))</f>
        <v>301.3652882329265</v>
      </c>
      <c r="H64" s="266">
        <f t="shared" si="0"/>
        <v>100.45509607764215</v>
      </c>
    </row>
    <row r="65" spans="1:8" ht="26.25" customHeight="1" x14ac:dyDescent="0.4">
      <c r="A65" s="124" t="s">
        <v>99</v>
      </c>
      <c r="B65" s="125">
        <v>1</v>
      </c>
      <c r="C65" s="549"/>
      <c r="D65" s="552"/>
      <c r="E65" s="184">
        <v>2</v>
      </c>
      <c r="F65" s="137">
        <v>29590403</v>
      </c>
      <c r="G65" s="249">
        <f>IF(ISBLANK(F65),"-",(F65/$D$50*$D$47*$B$68)*($B$57/$D$64))</f>
        <v>303.5559082337503</v>
      </c>
      <c r="H65" s="267">
        <f t="shared" si="0"/>
        <v>101.18530274458344</v>
      </c>
    </row>
    <row r="66" spans="1:8" ht="26.25" customHeight="1" x14ac:dyDescent="0.4">
      <c r="A66" s="124" t="s">
        <v>100</v>
      </c>
      <c r="B66" s="125">
        <v>1</v>
      </c>
      <c r="C66" s="549"/>
      <c r="D66" s="552"/>
      <c r="E66" s="184">
        <v>3</v>
      </c>
      <c r="F66" s="137">
        <v>29081853</v>
      </c>
      <c r="G66" s="249">
        <f>IF(ISBLANK(F66),"-",(F66/$D$50*$D$47*$B$68)*($B$57/$D$64))</f>
        <v>298.33890064070482</v>
      </c>
      <c r="H66" s="267">
        <f t="shared" si="0"/>
        <v>99.446300213568279</v>
      </c>
    </row>
    <row r="67" spans="1:8" ht="27" customHeight="1" x14ac:dyDescent="0.4">
      <c r="A67" s="124" t="s">
        <v>101</v>
      </c>
      <c r="B67" s="125">
        <v>1</v>
      </c>
      <c r="C67" s="558"/>
      <c r="D67" s="55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2500</v>
      </c>
      <c r="C68" s="548" t="s">
        <v>103</v>
      </c>
      <c r="D68" s="551">
        <v>884.68</v>
      </c>
      <c r="E68" s="182">
        <v>1</v>
      </c>
      <c r="F68" s="183">
        <v>29018166</v>
      </c>
      <c r="G68" s="248">
        <f>IF(ISBLANK(F68),"-",(F68/$D$50*$D$47*$B$68)*($B$57/$D$68))</f>
        <v>300.26643634454513</v>
      </c>
      <c r="H68" s="267">
        <f t="shared" si="0"/>
        <v>100.08881211484837</v>
      </c>
    </row>
    <row r="69" spans="1:8" ht="27" customHeight="1" x14ac:dyDescent="0.4">
      <c r="A69" s="172" t="s">
        <v>104</v>
      </c>
      <c r="B69" s="189">
        <f>(D47*B68)/B56*B57</f>
        <v>869.89799999999991</v>
      </c>
      <c r="C69" s="549"/>
      <c r="D69" s="552"/>
      <c r="E69" s="184">
        <v>2</v>
      </c>
      <c r="F69" s="137">
        <v>29135837</v>
      </c>
      <c r="G69" s="249">
        <f>IF(ISBLANK(F69),"-",(F69/$D$50*$D$47*$B$68)*($B$57/$D$68))</f>
        <v>301.48404092476216</v>
      </c>
      <c r="H69" s="267">
        <f t="shared" si="0"/>
        <v>100.49468030825406</v>
      </c>
    </row>
    <row r="70" spans="1:8" ht="26.25" customHeight="1" x14ac:dyDescent="0.4">
      <c r="A70" s="554" t="s">
        <v>77</v>
      </c>
      <c r="B70" s="555"/>
      <c r="C70" s="549"/>
      <c r="D70" s="552"/>
      <c r="E70" s="184">
        <v>3</v>
      </c>
      <c r="F70" s="137">
        <v>28772866</v>
      </c>
      <c r="G70" s="249">
        <f>IF(ISBLANK(F70),"-",(F70/$D$50*$D$47*$B$68)*($B$57/$D$68))</f>
        <v>297.72818644841738</v>
      </c>
      <c r="H70" s="267">
        <f t="shared" si="0"/>
        <v>99.24272881613912</v>
      </c>
    </row>
    <row r="71" spans="1:8" ht="27" customHeight="1" x14ac:dyDescent="0.4">
      <c r="A71" s="556"/>
      <c r="B71" s="557"/>
      <c r="C71" s="550"/>
      <c r="D71" s="55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301.63107792169905</v>
      </c>
      <c r="H72" s="269">
        <f>AVERAGE(H60:H71)</f>
        <v>100.54369264056633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9.3923052690882362E-3</v>
      </c>
      <c r="H73" s="253">
        <f>STDEV(H60:H71)/H72</f>
        <v>9.39230526908825E-3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535" t="str">
        <f>B26</f>
        <v>Tenofovir DF</v>
      </c>
      <c r="D76" s="535"/>
      <c r="E76" s="198" t="s">
        <v>107</v>
      </c>
      <c r="F76" s="198"/>
      <c r="G76" s="199">
        <f>H72</f>
        <v>100.54369264056633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69" t="str">
        <f>B26</f>
        <v>Tenofovir DF</v>
      </c>
      <c r="C79" s="569"/>
    </row>
    <row r="80" spans="1:8" ht="26.25" customHeight="1" x14ac:dyDescent="0.4">
      <c r="A80" s="109" t="s">
        <v>47</v>
      </c>
      <c r="B80" s="569" t="str">
        <f>B27</f>
        <v>T11 8</v>
      </c>
      <c r="C80" s="569"/>
    </row>
    <row r="81" spans="1:12" ht="27" customHeight="1" x14ac:dyDescent="0.4">
      <c r="A81" s="109" t="s">
        <v>6</v>
      </c>
      <c r="B81" s="201">
        <f>B28</f>
        <v>98.8</v>
      </c>
    </row>
    <row r="82" spans="1:12" s="14" customFormat="1" ht="27" customHeight="1" x14ac:dyDescent="0.4">
      <c r="A82" s="109" t="s">
        <v>48</v>
      </c>
      <c r="B82" s="111">
        <v>0</v>
      </c>
      <c r="C82" s="537" t="s">
        <v>49</v>
      </c>
      <c r="D82" s="538"/>
      <c r="E82" s="538"/>
      <c r="F82" s="538"/>
      <c r="G82" s="539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540" t="s">
        <v>110</v>
      </c>
      <c r="D84" s="541"/>
      <c r="E84" s="541"/>
      <c r="F84" s="541"/>
      <c r="G84" s="541"/>
      <c r="H84" s="542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540" t="s">
        <v>111</v>
      </c>
      <c r="D85" s="541"/>
      <c r="E85" s="541"/>
      <c r="F85" s="541"/>
      <c r="G85" s="541"/>
      <c r="H85" s="54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2" t="s">
        <v>58</v>
      </c>
      <c r="E89" s="203"/>
      <c r="F89" s="543" t="s">
        <v>59</v>
      </c>
      <c r="G89" s="544"/>
    </row>
    <row r="90" spans="1:12" ht="27" customHeight="1" x14ac:dyDescent="0.4">
      <c r="A90" s="124" t="s">
        <v>60</v>
      </c>
      <c r="B90" s="125">
        <v>1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06">
        <v>1</v>
      </c>
      <c r="D91" s="515">
        <v>60296334</v>
      </c>
      <c r="E91" s="133">
        <f>IF(ISBLANK(D91),"-",$D$101/$D$98*D91)</f>
        <v>70309537.024944499</v>
      </c>
      <c r="F91" s="515">
        <v>73711348</v>
      </c>
      <c r="G91" s="134">
        <f>IF(ISBLANK(F91),"-",$D$101/$F$98*F91)</f>
        <v>70162972.599088758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516">
        <v>60270590</v>
      </c>
      <c r="E92" s="138">
        <f>IF(ISBLANK(D92),"-",$D$101/$D$98*D92)</f>
        <v>70279517.808168069</v>
      </c>
      <c r="F92" s="516">
        <v>73867049</v>
      </c>
      <c r="G92" s="139">
        <f>IF(ISBLANK(F92),"-",$D$101/$F$98*F92)</f>
        <v>70311178.340715557</v>
      </c>
      <c r="I92" s="545">
        <f>ABS((F96/D96*D95)-F95)/D95</f>
        <v>1.3211910157913237E-3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516">
        <v>60408517</v>
      </c>
      <c r="E93" s="138">
        <f>IF(ISBLANK(D93),"-",$D$101/$D$98*D93)</f>
        <v>70440349.866601989</v>
      </c>
      <c r="F93" s="516">
        <v>73884365</v>
      </c>
      <c r="G93" s="139">
        <f>IF(ISBLANK(F93),"-",$D$101/$F$98*F93)</f>
        <v>70327660.769357696</v>
      </c>
      <c r="I93" s="545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60325147</v>
      </c>
      <c r="E95" s="148">
        <f>AVERAGE(E91:E94)</f>
        <v>70343134.899904847</v>
      </c>
      <c r="F95" s="211">
        <f>AVERAGE(F91:F94)</f>
        <v>73820920.666666672</v>
      </c>
      <c r="G95" s="212">
        <f>AVERAGE(G91:G94)</f>
        <v>70267270.569720671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13.02</v>
      </c>
      <c r="E96" s="140"/>
      <c r="F96" s="152">
        <v>15.95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13.02</v>
      </c>
      <c r="E97" s="155"/>
      <c r="F97" s="154">
        <f>F96*$B$87</f>
        <v>15.95</v>
      </c>
    </row>
    <row r="98" spans="1:10" ht="19.5" customHeight="1" x14ac:dyDescent="0.3">
      <c r="A98" s="124" t="s">
        <v>75</v>
      </c>
      <c r="B98" s="217">
        <f>(B97/B96)*(B95/B94)*(B93/B92)*(B91/B90)*B89</f>
        <v>50</v>
      </c>
      <c r="C98" s="215" t="s">
        <v>114</v>
      </c>
      <c r="D98" s="218">
        <f>D97*$B$83/100</f>
        <v>12.863759999999999</v>
      </c>
      <c r="E98" s="158"/>
      <c r="F98" s="157">
        <f>F97*$B$83/100</f>
        <v>15.758599999999999</v>
      </c>
    </row>
    <row r="99" spans="1:10" ht="19.5" customHeight="1" x14ac:dyDescent="0.3">
      <c r="A99" s="531" t="s">
        <v>77</v>
      </c>
      <c r="B99" s="546"/>
      <c r="C99" s="215" t="s">
        <v>115</v>
      </c>
      <c r="D99" s="219">
        <f>D98/$B$98</f>
        <v>0.25727519999999998</v>
      </c>
      <c r="E99" s="158"/>
      <c r="F99" s="161">
        <f>F98/$B$98</f>
        <v>0.31517200000000001</v>
      </c>
      <c r="G99" s="220"/>
      <c r="H99" s="150"/>
    </row>
    <row r="100" spans="1:10" ht="19.5" customHeight="1" x14ac:dyDescent="0.3">
      <c r="A100" s="533"/>
      <c r="B100" s="547"/>
      <c r="C100" s="215" t="s">
        <v>79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70305202.734812751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1.267629718709891E-3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1000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</v>
      </c>
      <c r="C108" s="274">
        <v>1</v>
      </c>
      <c r="D108" s="275">
        <v>69390214</v>
      </c>
      <c r="E108" s="250">
        <f t="shared" ref="E108:E109" si="1">IF(ISBLANK(D108),"-",D108/$D$103*$D$100*$B$116)</f>
        <v>296.09564285762445</v>
      </c>
      <c r="F108" s="276">
        <f t="shared" ref="F108:F109" si="2">IF(ISBLANK(D108), "-", (E108/$B$56)*100)</f>
        <v>98.698547619208156</v>
      </c>
    </row>
    <row r="109" spans="1:10" ht="26.25" customHeight="1" x14ac:dyDescent="0.4">
      <c r="A109" s="124" t="s">
        <v>94</v>
      </c>
      <c r="B109" s="125">
        <v>1</v>
      </c>
      <c r="C109" s="271">
        <v>2</v>
      </c>
      <c r="D109" s="273">
        <v>69508069</v>
      </c>
      <c r="E109" s="251">
        <f t="shared" si="1"/>
        <v>296.59854305027966</v>
      </c>
      <c r="F109" s="277">
        <f t="shared" si="2"/>
        <v>98.866181016759896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>
        <v>68194940</v>
      </c>
      <c r="E110" s="251">
        <f>IF(ISBLANK(D110),"-",D110/$D$103*$D$100*$B$116)</f>
        <v>290.99527779143506</v>
      </c>
      <c r="F110" s="277">
        <f>IF(ISBLANK(D110), "-", (E110/$B$56)*100)</f>
        <v>96.998425930478348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>
        <v>69188406</v>
      </c>
      <c r="E111" s="251">
        <f>IF(ISBLANK(D111),"-",D111/$D$103*$D$100*$B$116)</f>
        <v>295.2345060193116</v>
      </c>
      <c r="F111" s="277">
        <f>IF(ISBLANK(D111), "-", (E111/$B$56)*100)</f>
        <v>98.411502006437203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459">
        <v>69340954</v>
      </c>
      <c r="E112" s="251">
        <f>IF(ISBLANK(D112),"-",D112/$D$103*$D$100*$B$116)</f>
        <v>295.8854450425959</v>
      </c>
      <c r="F112" s="277">
        <f>IF(ISBLANK(D112), "-", (E112/$B$56)*100)</f>
        <v>98.628481680865292</v>
      </c>
    </row>
    <row r="113" spans="1:10" ht="27" customHeight="1" thickBot="1" x14ac:dyDescent="0.45">
      <c r="A113" s="124" t="s">
        <v>99</v>
      </c>
      <c r="B113" s="125">
        <v>1</v>
      </c>
      <c r="C113" s="272">
        <v>6</v>
      </c>
      <c r="D113" s="459">
        <v>69353673</v>
      </c>
      <c r="E113" s="252">
        <f>IF(ISBLANK(D113),"-",D113/$D$103*$D$100*$B$116)</f>
        <v>295.93971840859973</v>
      </c>
      <c r="F113" s="278">
        <f>IF(ISBLANK(D113), "-", (E113/$B$56)*100)</f>
        <v>98.646572802866572</v>
      </c>
    </row>
    <row r="114" spans="1:10" ht="27" customHeight="1" thickBot="1" x14ac:dyDescent="0.45">
      <c r="A114" s="124" t="s">
        <v>100</v>
      </c>
      <c r="B114" s="125">
        <v>1</v>
      </c>
      <c r="C114" s="233"/>
      <c r="D114" s="191"/>
      <c r="E114" s="98"/>
      <c r="F114" s="279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295.12485552830771</v>
      </c>
      <c r="F115" s="280">
        <f>AVERAGE(F108:F113)</f>
        <v>98.374951842769235</v>
      </c>
    </row>
    <row r="116" spans="1:10" ht="27" customHeight="1" x14ac:dyDescent="0.4">
      <c r="A116" s="124" t="s">
        <v>102</v>
      </c>
      <c r="B116" s="156">
        <f>(B115/B114)*(B113/B112)*(B111/B110)*(B109/B108)*B107</f>
        <v>1000</v>
      </c>
      <c r="C116" s="234"/>
      <c r="D116" s="258" t="s">
        <v>83</v>
      </c>
      <c r="E116" s="256">
        <f>STDEV(E108:E113)/E115</f>
        <v>7.0135903762127893E-3</v>
      </c>
      <c r="F116" s="235">
        <f>STDEV(F108:F113)/F115</f>
        <v>7.0135903762128162E-3</v>
      </c>
      <c r="I116" s="98"/>
    </row>
    <row r="117" spans="1:10" ht="27" customHeight="1" x14ac:dyDescent="0.4">
      <c r="A117" s="531" t="s">
        <v>77</v>
      </c>
      <c r="B117" s="532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33"/>
      <c r="B118" s="534"/>
      <c r="C118" s="98"/>
      <c r="D118" s="260"/>
      <c r="E118" s="559" t="s">
        <v>122</v>
      </c>
      <c r="F118" s="560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290.99527779143506</v>
      </c>
      <c r="F119" s="281">
        <f>MIN(F108:F113)</f>
        <v>96.998425930478348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296.59854305027966</v>
      </c>
      <c r="F120" s="282">
        <f>MAX(F108:F113)</f>
        <v>98.866181016759896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535" t="str">
        <f>B26</f>
        <v>Tenofovir DF</v>
      </c>
      <c r="D124" s="535"/>
      <c r="E124" s="198" t="s">
        <v>126</v>
      </c>
      <c r="F124" s="198"/>
      <c r="G124" s="283">
        <f>F115</f>
        <v>98.374951842769235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3">
        <f>MIN(F108:F113)</f>
        <v>96.998425930478348</v>
      </c>
      <c r="E125" s="209" t="s">
        <v>129</v>
      </c>
      <c r="F125" s="283">
        <f>MAX(F108:F113)</f>
        <v>98.866181016759896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36" t="s">
        <v>25</v>
      </c>
      <c r="C127" s="536"/>
      <c r="E127" s="204" t="s">
        <v>26</v>
      </c>
      <c r="F127" s="239"/>
      <c r="G127" s="536" t="s">
        <v>27</v>
      </c>
      <c r="H127" s="536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9" t="s">
        <v>44</v>
      </c>
      <c r="B1" s="529"/>
      <c r="C1" s="529"/>
      <c r="D1" s="529"/>
      <c r="E1" s="529"/>
      <c r="F1" s="529"/>
      <c r="G1" s="529"/>
      <c r="H1" s="529"/>
      <c r="I1" s="529"/>
    </row>
    <row r="2" spans="1:9" ht="18.7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</row>
    <row r="3" spans="1:9" ht="18.7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</row>
    <row r="4" spans="1:9" ht="18.75" customHeight="1" x14ac:dyDescent="0.25">
      <c r="A4" s="529"/>
      <c r="B4" s="529"/>
      <c r="C4" s="529"/>
      <c r="D4" s="529"/>
      <c r="E4" s="529"/>
      <c r="F4" s="529"/>
      <c r="G4" s="529"/>
      <c r="H4" s="529"/>
      <c r="I4" s="529"/>
    </row>
    <row r="5" spans="1:9" ht="18.75" customHeight="1" x14ac:dyDescent="0.25">
      <c r="A5" s="529"/>
      <c r="B5" s="529"/>
      <c r="C5" s="529"/>
      <c r="D5" s="529"/>
      <c r="E5" s="529"/>
      <c r="F5" s="529"/>
      <c r="G5" s="529"/>
      <c r="H5" s="529"/>
      <c r="I5" s="529"/>
    </row>
    <row r="6" spans="1:9" ht="18.75" customHeight="1" x14ac:dyDescent="0.25">
      <c r="A6" s="529"/>
      <c r="B6" s="529"/>
      <c r="C6" s="529"/>
      <c r="D6" s="529"/>
      <c r="E6" s="529"/>
      <c r="F6" s="529"/>
      <c r="G6" s="529"/>
      <c r="H6" s="529"/>
      <c r="I6" s="529"/>
    </row>
    <row r="7" spans="1:9" ht="18.75" customHeight="1" x14ac:dyDescent="0.25">
      <c r="A7" s="529"/>
      <c r="B7" s="529"/>
      <c r="C7" s="529"/>
      <c r="D7" s="529"/>
      <c r="E7" s="529"/>
      <c r="F7" s="529"/>
      <c r="G7" s="529"/>
      <c r="H7" s="529"/>
      <c r="I7" s="529"/>
    </row>
    <row r="8" spans="1:9" x14ac:dyDescent="0.25">
      <c r="A8" s="530" t="s">
        <v>45</v>
      </c>
      <c r="B8" s="530"/>
      <c r="C8" s="530"/>
      <c r="D8" s="530"/>
      <c r="E8" s="530"/>
      <c r="F8" s="530"/>
      <c r="G8" s="530"/>
      <c r="H8" s="530"/>
      <c r="I8" s="530"/>
    </row>
    <row r="9" spans="1:9" x14ac:dyDescent="0.25">
      <c r="A9" s="530"/>
      <c r="B9" s="530"/>
      <c r="C9" s="530"/>
      <c r="D9" s="530"/>
      <c r="E9" s="530"/>
      <c r="F9" s="530"/>
      <c r="G9" s="530"/>
      <c r="H9" s="530"/>
      <c r="I9" s="530"/>
    </row>
    <row r="10" spans="1:9" x14ac:dyDescent="0.25">
      <c r="A10" s="530"/>
      <c r="B10" s="530"/>
      <c r="C10" s="530"/>
      <c r="D10" s="530"/>
      <c r="E10" s="530"/>
      <c r="F10" s="530"/>
      <c r="G10" s="530"/>
      <c r="H10" s="530"/>
      <c r="I10" s="530"/>
    </row>
    <row r="11" spans="1:9" x14ac:dyDescent="0.25">
      <c r="A11" s="530"/>
      <c r="B11" s="530"/>
      <c r="C11" s="530"/>
      <c r="D11" s="530"/>
      <c r="E11" s="530"/>
      <c r="F11" s="530"/>
      <c r="G11" s="530"/>
      <c r="H11" s="530"/>
      <c r="I11" s="530"/>
    </row>
    <row r="12" spans="1:9" x14ac:dyDescent="0.25">
      <c r="A12" s="530"/>
      <c r="B12" s="530"/>
      <c r="C12" s="530"/>
      <c r="D12" s="530"/>
      <c r="E12" s="530"/>
      <c r="F12" s="530"/>
      <c r="G12" s="530"/>
      <c r="H12" s="530"/>
      <c r="I12" s="530"/>
    </row>
    <row r="13" spans="1:9" x14ac:dyDescent="0.25">
      <c r="A13" s="530"/>
      <c r="B13" s="530"/>
      <c r="C13" s="530"/>
      <c r="D13" s="530"/>
      <c r="E13" s="530"/>
      <c r="F13" s="530"/>
      <c r="G13" s="530"/>
      <c r="H13" s="530"/>
      <c r="I13" s="530"/>
    </row>
    <row r="14" spans="1:9" x14ac:dyDescent="0.25">
      <c r="A14" s="530"/>
      <c r="B14" s="530"/>
      <c r="C14" s="530"/>
      <c r="D14" s="530"/>
      <c r="E14" s="530"/>
      <c r="F14" s="530"/>
      <c r="G14" s="530"/>
      <c r="H14" s="530"/>
      <c r="I14" s="530"/>
    </row>
    <row r="15" spans="1:9" ht="19.5" customHeight="1" x14ac:dyDescent="0.3">
      <c r="A15" s="284"/>
    </row>
    <row r="16" spans="1:9" ht="19.5" customHeight="1" x14ac:dyDescent="0.3">
      <c r="A16" s="562" t="s">
        <v>30</v>
      </c>
      <c r="B16" s="563"/>
      <c r="C16" s="563"/>
      <c r="D16" s="563"/>
      <c r="E16" s="563"/>
      <c r="F16" s="563"/>
      <c r="G16" s="563"/>
      <c r="H16" s="564"/>
    </row>
    <row r="17" spans="1:14" ht="20.25" customHeight="1" x14ac:dyDescent="0.25">
      <c r="A17" s="565" t="s">
        <v>46</v>
      </c>
      <c r="B17" s="565"/>
      <c r="C17" s="565"/>
      <c r="D17" s="565"/>
      <c r="E17" s="565"/>
      <c r="F17" s="565"/>
      <c r="G17" s="565"/>
      <c r="H17" s="565"/>
    </row>
    <row r="18" spans="1:14" ht="26.25" customHeight="1" x14ac:dyDescent="0.4">
      <c r="A18" s="286" t="s">
        <v>32</v>
      </c>
      <c r="B18" s="561" t="s">
        <v>5</v>
      </c>
      <c r="C18" s="561"/>
      <c r="D18" s="432"/>
      <c r="E18" s="287"/>
      <c r="F18" s="288"/>
      <c r="G18" s="288"/>
      <c r="H18" s="288"/>
    </row>
    <row r="19" spans="1:14" ht="26.25" customHeight="1" x14ac:dyDescent="0.4">
      <c r="A19" s="286" t="s">
        <v>33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34</v>
      </c>
      <c r="B20" s="566" t="s">
        <v>9</v>
      </c>
      <c r="C20" s="566"/>
      <c r="D20" s="288"/>
      <c r="E20" s="288"/>
      <c r="F20" s="288"/>
      <c r="G20" s="288"/>
      <c r="H20" s="288"/>
    </row>
    <row r="21" spans="1:14" ht="26.25" customHeight="1" x14ac:dyDescent="0.4">
      <c r="A21" s="286" t="s">
        <v>35</v>
      </c>
      <c r="B21" s="566" t="s">
        <v>11</v>
      </c>
      <c r="C21" s="566"/>
      <c r="D21" s="566"/>
      <c r="E21" s="566"/>
      <c r="F21" s="566"/>
      <c r="G21" s="566"/>
      <c r="H21" s="566"/>
      <c r="I21" s="290"/>
    </row>
    <row r="22" spans="1:14" ht="26.25" customHeight="1" x14ac:dyDescent="0.4">
      <c r="A22" s="286" t="s">
        <v>36</v>
      </c>
      <c r="B22" s="291" t="s">
        <v>12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37</v>
      </c>
      <c r="B23" s="291"/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561" t="s">
        <v>133</v>
      </c>
      <c r="C26" s="561"/>
    </row>
    <row r="27" spans="1:14" ht="26.25" customHeight="1" x14ac:dyDescent="0.4">
      <c r="A27" s="295" t="s">
        <v>47</v>
      </c>
      <c r="B27" s="567" t="s">
        <v>134</v>
      </c>
      <c r="C27" s="567"/>
    </row>
    <row r="28" spans="1:14" ht="27" customHeight="1" x14ac:dyDescent="0.4">
      <c r="A28" s="295" t="s">
        <v>6</v>
      </c>
      <c r="B28" s="296">
        <v>99.3</v>
      </c>
    </row>
    <row r="29" spans="1:14" s="14" customFormat="1" ht="27" customHeight="1" x14ac:dyDescent="0.4">
      <c r="A29" s="295" t="s">
        <v>48</v>
      </c>
      <c r="B29" s="297">
        <v>0</v>
      </c>
      <c r="C29" s="537" t="s">
        <v>49</v>
      </c>
      <c r="D29" s="538"/>
      <c r="E29" s="538"/>
      <c r="F29" s="538"/>
      <c r="G29" s="539"/>
      <c r="I29" s="298"/>
      <c r="J29" s="298"/>
      <c r="K29" s="298"/>
      <c r="L29" s="298"/>
    </row>
    <row r="30" spans="1:14" s="14" customFormat="1" ht="19.5" customHeight="1" x14ac:dyDescent="0.3">
      <c r="A30" s="295" t="s">
        <v>50</v>
      </c>
      <c r="B30" s="299">
        <f>B28-B29</f>
        <v>99.3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51</v>
      </c>
      <c r="B31" s="302">
        <v>1</v>
      </c>
      <c r="C31" s="540" t="s">
        <v>52</v>
      </c>
      <c r="D31" s="541"/>
      <c r="E31" s="541"/>
      <c r="F31" s="541"/>
      <c r="G31" s="541"/>
      <c r="H31" s="542"/>
      <c r="I31" s="298"/>
      <c r="J31" s="298"/>
      <c r="K31" s="298"/>
      <c r="L31" s="298"/>
    </row>
    <row r="32" spans="1:14" s="14" customFormat="1" ht="27" customHeight="1" x14ac:dyDescent="0.4">
      <c r="A32" s="295" t="s">
        <v>53</v>
      </c>
      <c r="B32" s="302">
        <v>1</v>
      </c>
      <c r="C32" s="540" t="s">
        <v>54</v>
      </c>
      <c r="D32" s="541"/>
      <c r="E32" s="541"/>
      <c r="F32" s="541"/>
      <c r="G32" s="541"/>
      <c r="H32" s="542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55</v>
      </c>
      <c r="B34" s="307">
        <f>B31/B32</f>
        <v>1</v>
      </c>
      <c r="C34" s="285" t="s">
        <v>56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57</v>
      </c>
      <c r="B36" s="309">
        <v>50</v>
      </c>
      <c r="C36" s="285"/>
      <c r="D36" s="543" t="s">
        <v>58</v>
      </c>
      <c r="E36" s="568"/>
      <c r="F36" s="543" t="s">
        <v>59</v>
      </c>
      <c r="G36" s="544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60</v>
      </c>
      <c r="B37" s="311">
        <v>10</v>
      </c>
      <c r="C37" s="312" t="s">
        <v>61</v>
      </c>
      <c r="D37" s="313" t="s">
        <v>62</v>
      </c>
      <c r="E37" s="314" t="s">
        <v>63</v>
      </c>
      <c r="F37" s="313" t="s">
        <v>62</v>
      </c>
      <c r="G37" s="315" t="s">
        <v>63</v>
      </c>
      <c r="I37" s="316" t="s">
        <v>64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65</v>
      </c>
      <c r="B38" s="311">
        <v>25</v>
      </c>
      <c r="C38" s="317">
        <v>1</v>
      </c>
      <c r="D38" s="318">
        <v>86973335</v>
      </c>
      <c r="E38" s="319">
        <f>IF(ISBLANK(D38),"-",$D$48/$D$45*D38)</f>
        <v>73602050.48786886</v>
      </c>
      <c r="F38" s="318">
        <v>73753629</v>
      </c>
      <c r="G38" s="320">
        <f>IF(ISBLANK(F38),"-",$D$48/$F$45*F38)</f>
        <v>75532417.430488005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66</v>
      </c>
      <c r="B39" s="311">
        <v>1</v>
      </c>
      <c r="C39" s="322">
        <v>2</v>
      </c>
      <c r="D39" s="323">
        <v>86930636</v>
      </c>
      <c r="E39" s="324">
        <f>IF(ISBLANK(D39),"-",$D$48/$D$45*D39)</f>
        <v>73565916.034087345</v>
      </c>
      <c r="F39" s="323">
        <v>74147100</v>
      </c>
      <c r="G39" s="325">
        <f>IF(ISBLANK(F39),"-",$D$48/$F$45*F39)</f>
        <v>75935378.155563533</v>
      </c>
      <c r="I39" s="545">
        <f>ABS((F43/D43*D42)-F42)/D42</f>
        <v>2.4615191636853367E-2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67</v>
      </c>
      <c r="B40" s="311">
        <v>1</v>
      </c>
      <c r="C40" s="322">
        <v>3</v>
      </c>
      <c r="D40" s="323">
        <v>86924071</v>
      </c>
      <c r="E40" s="324">
        <f>IF(ISBLANK(D40),"-",$D$48/$D$45*D40)</f>
        <v>73560360.337488472</v>
      </c>
      <c r="F40" s="323">
        <v>74049778</v>
      </c>
      <c r="G40" s="325">
        <f>IF(ISBLANK(F40),"-",$D$48/$F$45*F40)</f>
        <v>75835708.945670545</v>
      </c>
      <c r="I40" s="545"/>
      <c r="L40" s="303"/>
      <c r="M40" s="303"/>
      <c r="N40" s="326"/>
    </row>
    <row r="41" spans="1:14" ht="27" customHeight="1" x14ac:dyDescent="0.4">
      <c r="A41" s="310" t="s">
        <v>68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69</v>
      </c>
      <c r="B42" s="311">
        <v>1</v>
      </c>
      <c r="C42" s="332" t="s">
        <v>70</v>
      </c>
      <c r="D42" s="333">
        <f>AVERAGE(D38:D41)</f>
        <v>86942680.666666672</v>
      </c>
      <c r="E42" s="334">
        <f>AVERAGE(E38:E41)</f>
        <v>73576108.953148231</v>
      </c>
      <c r="F42" s="333">
        <f>AVERAGE(F38:F41)</f>
        <v>73983502.333333328</v>
      </c>
      <c r="G42" s="335">
        <f>AVERAGE(G38:G41)</f>
        <v>75767834.843907356</v>
      </c>
      <c r="H42" s="336"/>
    </row>
    <row r="43" spans="1:14" ht="26.25" customHeight="1" x14ac:dyDescent="0.4">
      <c r="A43" s="310" t="s">
        <v>71</v>
      </c>
      <c r="B43" s="311">
        <v>1</v>
      </c>
      <c r="C43" s="337" t="s">
        <v>72</v>
      </c>
      <c r="D43" s="338">
        <v>17.850000000000001</v>
      </c>
      <c r="E43" s="326"/>
      <c r="F43" s="338">
        <v>14.75</v>
      </c>
      <c r="H43" s="336"/>
    </row>
    <row r="44" spans="1:14" ht="26.25" customHeight="1" x14ac:dyDescent="0.4">
      <c r="A44" s="310" t="s">
        <v>73</v>
      </c>
      <c r="B44" s="311">
        <v>1</v>
      </c>
      <c r="C44" s="339" t="s">
        <v>74</v>
      </c>
      <c r="D44" s="340">
        <f>D43*$B$34</f>
        <v>17.850000000000001</v>
      </c>
      <c r="E44" s="341"/>
      <c r="F44" s="340">
        <f>F43*$B$34</f>
        <v>14.75</v>
      </c>
      <c r="H44" s="336"/>
    </row>
    <row r="45" spans="1:14" ht="19.5" customHeight="1" x14ac:dyDescent="0.3">
      <c r="A45" s="310" t="s">
        <v>75</v>
      </c>
      <c r="B45" s="342">
        <f>(B44/B43)*(B42/B41)*(B40/B39)*(B38/B37)*B36</f>
        <v>125</v>
      </c>
      <c r="C45" s="339" t="s">
        <v>76</v>
      </c>
      <c r="D45" s="343">
        <f>D44*$B$30/100</f>
        <v>17.72505</v>
      </c>
      <c r="E45" s="344"/>
      <c r="F45" s="343">
        <f>F44*$B$30/100</f>
        <v>14.646749999999999</v>
      </c>
      <c r="H45" s="336"/>
    </row>
    <row r="46" spans="1:14" ht="19.5" customHeight="1" x14ac:dyDescent="0.3">
      <c r="A46" s="531" t="s">
        <v>77</v>
      </c>
      <c r="B46" s="532"/>
      <c r="C46" s="339" t="s">
        <v>78</v>
      </c>
      <c r="D46" s="345">
        <f>D45/$B$45</f>
        <v>0.14180039999999999</v>
      </c>
      <c r="E46" s="346"/>
      <c r="F46" s="347">
        <f>F45/$B$45</f>
        <v>0.11717399999999999</v>
      </c>
      <c r="H46" s="336"/>
    </row>
    <row r="47" spans="1:14" ht="27" customHeight="1" x14ac:dyDescent="0.4">
      <c r="A47" s="533"/>
      <c r="B47" s="534"/>
      <c r="C47" s="348" t="s">
        <v>79</v>
      </c>
      <c r="D47" s="349">
        <v>0.12</v>
      </c>
      <c r="E47" s="350"/>
      <c r="F47" s="346"/>
      <c r="H47" s="336"/>
    </row>
    <row r="48" spans="1:14" ht="18.75" x14ac:dyDescent="0.3">
      <c r="C48" s="351" t="s">
        <v>80</v>
      </c>
      <c r="D48" s="343">
        <f>D47*$B$45</f>
        <v>15</v>
      </c>
      <c r="F48" s="352"/>
      <c r="H48" s="336"/>
    </row>
    <row r="49" spans="1:12" ht="19.5" customHeight="1" x14ac:dyDescent="0.3">
      <c r="C49" s="353" t="s">
        <v>81</v>
      </c>
      <c r="D49" s="354">
        <f>D48/B34</f>
        <v>15</v>
      </c>
      <c r="F49" s="352"/>
      <c r="H49" s="336"/>
    </row>
    <row r="50" spans="1:12" ht="18.75" x14ac:dyDescent="0.3">
      <c r="C50" s="308" t="s">
        <v>82</v>
      </c>
      <c r="D50" s="355">
        <f>AVERAGE(E38:E41,G38:G41)</f>
        <v>74671971.898527786</v>
      </c>
      <c r="F50" s="356"/>
      <c r="H50" s="336"/>
    </row>
    <row r="51" spans="1:12" ht="18.75" x14ac:dyDescent="0.3">
      <c r="C51" s="310" t="s">
        <v>83</v>
      </c>
      <c r="D51" s="357">
        <f>STDEV(E38:E41,G38:G41)/D50</f>
        <v>1.6175534440239066E-2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84</v>
      </c>
    </row>
    <row r="55" spans="1:12" ht="18.75" x14ac:dyDescent="0.3">
      <c r="A55" s="285" t="s">
        <v>85</v>
      </c>
      <c r="B55" s="362" t="str">
        <f>B21</f>
        <v xml:space="preserve">Each film coated tablet contains  Tenofovir Disoproxil Fumarate equivalent to Tenofovir disoproxil 300mg and Lamivudine 300mg  </v>
      </c>
    </row>
    <row r="56" spans="1:12" ht="26.25" customHeight="1" x14ac:dyDescent="0.4">
      <c r="A56" s="363" t="s">
        <v>86</v>
      </c>
      <c r="B56" s="364">
        <v>300</v>
      </c>
      <c r="C56" s="285" t="str">
        <f>B20</f>
        <v xml:space="preserve">TENOFOVIRDISOPROXIL FUMARITE AND LAMIVUDINE  </v>
      </c>
      <c r="H56" s="365"/>
    </row>
    <row r="57" spans="1:12" ht="18.75" x14ac:dyDescent="0.3">
      <c r="A57" s="362" t="s">
        <v>87</v>
      </c>
      <c r="B57" s="433">
        <f>Uniformity!C46</f>
        <v>869.89799999999991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88</v>
      </c>
      <c r="B59" s="309">
        <v>200</v>
      </c>
      <c r="C59" s="285"/>
      <c r="D59" s="366" t="s">
        <v>89</v>
      </c>
      <c r="E59" s="367" t="s">
        <v>61</v>
      </c>
      <c r="F59" s="367" t="s">
        <v>62</v>
      </c>
      <c r="G59" s="367" t="s">
        <v>90</v>
      </c>
      <c r="H59" s="312" t="s">
        <v>91</v>
      </c>
      <c r="L59" s="298"/>
    </row>
    <row r="60" spans="1:12" s="14" customFormat="1" ht="26.25" customHeight="1" x14ac:dyDescent="0.4">
      <c r="A60" s="310" t="s">
        <v>92</v>
      </c>
      <c r="B60" s="311">
        <v>2</v>
      </c>
      <c r="C60" s="548" t="s">
        <v>93</v>
      </c>
      <c r="D60" s="551">
        <v>880.35</v>
      </c>
      <c r="E60" s="368">
        <v>1</v>
      </c>
      <c r="F60" s="369">
        <v>76521021</v>
      </c>
      <c r="G60" s="434">
        <f>IF(ISBLANK(F60),"-",(F60/$D$50*$D$47*$B$68)*($B$57/$D$60))</f>
        <v>303.77872464144451</v>
      </c>
      <c r="H60" s="452">
        <f t="shared" ref="H60:H71" si="0">IF(ISBLANK(F60),"-",(G60/$B$56)*100)</f>
        <v>101.25957488048149</v>
      </c>
      <c r="L60" s="298"/>
    </row>
    <row r="61" spans="1:12" s="14" customFormat="1" ht="26.25" customHeight="1" x14ac:dyDescent="0.4">
      <c r="A61" s="310" t="s">
        <v>94</v>
      </c>
      <c r="B61" s="311">
        <v>25</v>
      </c>
      <c r="C61" s="549"/>
      <c r="D61" s="552"/>
      <c r="E61" s="370">
        <v>2</v>
      </c>
      <c r="F61" s="323">
        <v>75866137</v>
      </c>
      <c r="G61" s="435">
        <f>IF(ISBLANK(F61),"-",(F61/$D$50*$D$47*$B$68)*($B$57/$D$60))</f>
        <v>301.17891842207786</v>
      </c>
      <c r="H61" s="453">
        <f t="shared" si="0"/>
        <v>100.39297280735929</v>
      </c>
      <c r="L61" s="298"/>
    </row>
    <row r="62" spans="1:12" s="14" customFormat="1" ht="26.25" customHeight="1" x14ac:dyDescent="0.4">
      <c r="A62" s="310" t="s">
        <v>95</v>
      </c>
      <c r="B62" s="311">
        <v>1</v>
      </c>
      <c r="C62" s="549"/>
      <c r="D62" s="552"/>
      <c r="E62" s="370">
        <v>3</v>
      </c>
      <c r="F62" s="371">
        <v>77242355</v>
      </c>
      <c r="G62" s="435">
        <f>IF(ISBLANK(F62),"-",(F62/$D$50*$D$47*$B$68)*($B$57/$D$60))</f>
        <v>306.64232891249202</v>
      </c>
      <c r="H62" s="453">
        <f t="shared" si="0"/>
        <v>102.21410963749733</v>
      </c>
      <c r="L62" s="298"/>
    </row>
    <row r="63" spans="1:12" ht="27" customHeight="1" x14ac:dyDescent="0.4">
      <c r="A63" s="310" t="s">
        <v>96</v>
      </c>
      <c r="B63" s="311">
        <v>1</v>
      </c>
      <c r="C63" s="558"/>
      <c r="D63" s="553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97</v>
      </c>
      <c r="B64" s="311">
        <v>1</v>
      </c>
      <c r="C64" s="548" t="s">
        <v>98</v>
      </c>
      <c r="D64" s="551">
        <v>892.35</v>
      </c>
      <c r="E64" s="368">
        <v>1</v>
      </c>
      <c r="F64" s="369">
        <v>77806342</v>
      </c>
      <c r="G64" s="434">
        <f>IF(ISBLANK(F64),"-",(F64/$D$50*$D$47*$B$68)*($B$57/$D$64))</f>
        <v>304.72756180476398</v>
      </c>
      <c r="H64" s="452">
        <f t="shared" si="0"/>
        <v>101.57585393492133</v>
      </c>
    </row>
    <row r="65" spans="1:8" ht="26.25" customHeight="1" x14ac:dyDescent="0.4">
      <c r="A65" s="310" t="s">
        <v>99</v>
      </c>
      <c r="B65" s="311">
        <v>1</v>
      </c>
      <c r="C65" s="549"/>
      <c r="D65" s="552"/>
      <c r="E65" s="370">
        <v>2</v>
      </c>
      <c r="F65" s="323">
        <v>78417734</v>
      </c>
      <c r="G65" s="435">
        <f>IF(ISBLANK(F65),"-",(F65/$D$50*$D$47*$B$68)*($B$57/$D$64))</f>
        <v>307.12207089846925</v>
      </c>
      <c r="H65" s="453">
        <f t="shared" si="0"/>
        <v>102.37402363282308</v>
      </c>
    </row>
    <row r="66" spans="1:8" ht="26.25" customHeight="1" x14ac:dyDescent="0.4">
      <c r="A66" s="310" t="s">
        <v>100</v>
      </c>
      <c r="B66" s="311">
        <v>1</v>
      </c>
      <c r="C66" s="549"/>
      <c r="D66" s="552"/>
      <c r="E66" s="370">
        <v>3</v>
      </c>
      <c r="F66" s="323">
        <v>77015079</v>
      </c>
      <c r="G66" s="435">
        <f>IF(ISBLANK(F66),"-",(F66/$D$50*$D$47*$B$68)*($B$57/$D$64))</f>
        <v>301.62859019732974</v>
      </c>
      <c r="H66" s="453">
        <f t="shared" si="0"/>
        <v>100.54286339910992</v>
      </c>
    </row>
    <row r="67" spans="1:8" ht="27" customHeight="1" x14ac:dyDescent="0.4">
      <c r="A67" s="310" t="s">
        <v>101</v>
      </c>
      <c r="B67" s="311">
        <v>1</v>
      </c>
      <c r="C67" s="558"/>
      <c r="D67" s="553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102</v>
      </c>
      <c r="B68" s="374">
        <f>(B67/B66)*(B65/B64)*(B63/B62)*(B61/B60)*B59</f>
        <v>2500</v>
      </c>
      <c r="C68" s="548" t="s">
        <v>103</v>
      </c>
      <c r="D68" s="551">
        <v>884.68</v>
      </c>
      <c r="E68" s="368">
        <v>1</v>
      </c>
      <c r="F68" s="369">
        <v>76842110</v>
      </c>
      <c r="G68" s="434">
        <f>IF(ISBLANK(F68),"-",(F68/$D$50*$D$47*$B$68)*($B$57/$D$68))</f>
        <v>303.56034609517258</v>
      </c>
      <c r="H68" s="453">
        <f t="shared" si="0"/>
        <v>101.18678203172419</v>
      </c>
    </row>
    <row r="69" spans="1:8" ht="27" customHeight="1" x14ac:dyDescent="0.4">
      <c r="A69" s="358" t="s">
        <v>104</v>
      </c>
      <c r="B69" s="375">
        <f>(D47*B68)/B56*B57</f>
        <v>869.89799999999991</v>
      </c>
      <c r="C69" s="549"/>
      <c r="D69" s="552"/>
      <c r="E69" s="370">
        <v>2</v>
      </c>
      <c r="F69" s="323">
        <v>77124109</v>
      </c>
      <c r="G69" s="435">
        <f>IF(ISBLANK(F69),"-",(F69/$D$50*$D$47*$B$68)*($B$57/$D$68))</f>
        <v>304.67436696261746</v>
      </c>
      <c r="H69" s="453">
        <f t="shared" si="0"/>
        <v>101.55812232087249</v>
      </c>
    </row>
    <row r="70" spans="1:8" ht="26.25" customHeight="1" x14ac:dyDescent="0.4">
      <c r="A70" s="554" t="s">
        <v>77</v>
      </c>
      <c r="B70" s="555"/>
      <c r="C70" s="549"/>
      <c r="D70" s="552"/>
      <c r="E70" s="370">
        <v>3</v>
      </c>
      <c r="F70" s="323">
        <v>76196768</v>
      </c>
      <c r="G70" s="435">
        <f>IF(ISBLANK(F70),"-",(F70/$D$50*$D$47*$B$68)*($B$57/$D$68))</f>
        <v>301.01095955607639</v>
      </c>
      <c r="H70" s="453">
        <f t="shared" si="0"/>
        <v>100.33698651869214</v>
      </c>
    </row>
    <row r="71" spans="1:8" ht="27" customHeight="1" x14ac:dyDescent="0.4">
      <c r="A71" s="556"/>
      <c r="B71" s="557"/>
      <c r="C71" s="550"/>
      <c r="D71" s="553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70</v>
      </c>
      <c r="G72" s="440">
        <f>AVERAGE(G60:G71)</f>
        <v>303.81376305449379</v>
      </c>
      <c r="H72" s="455">
        <f>AVERAGE(H60:H71)</f>
        <v>101.27125435149792</v>
      </c>
    </row>
    <row r="73" spans="1:8" ht="26.25" customHeight="1" x14ac:dyDescent="0.4">
      <c r="C73" s="376"/>
      <c r="D73" s="376"/>
      <c r="E73" s="376"/>
      <c r="F73" s="379" t="s">
        <v>83</v>
      </c>
      <c r="G73" s="439">
        <f>STDEV(G60:G71)/G72</f>
        <v>7.3746913010622481E-3</v>
      </c>
      <c r="H73" s="439">
        <f>STDEV(H60:H71)/H72</f>
        <v>7.3746913010622082E-3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105</v>
      </c>
      <c r="B76" s="383" t="s">
        <v>106</v>
      </c>
      <c r="C76" s="535" t="str">
        <f>B26</f>
        <v>Lamivudine</v>
      </c>
      <c r="D76" s="535"/>
      <c r="E76" s="384" t="s">
        <v>107</v>
      </c>
      <c r="F76" s="384"/>
      <c r="G76" s="385">
        <f>H72</f>
        <v>101.27125435149792</v>
      </c>
      <c r="H76" s="386"/>
    </row>
    <row r="77" spans="1:8" ht="18.75" x14ac:dyDescent="0.3">
      <c r="A77" s="293" t="s">
        <v>108</v>
      </c>
      <c r="B77" s="293" t="s">
        <v>109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69" t="str">
        <f>B26</f>
        <v>Lamivudine</v>
      </c>
      <c r="C79" s="569"/>
    </row>
    <row r="80" spans="1:8" ht="26.25" customHeight="1" x14ac:dyDescent="0.4">
      <c r="A80" s="295" t="s">
        <v>47</v>
      </c>
      <c r="B80" s="569" t="str">
        <f>B27</f>
        <v>L 10M388</v>
      </c>
      <c r="C80" s="569"/>
    </row>
    <row r="81" spans="1:12" ht="27" customHeight="1" x14ac:dyDescent="0.4">
      <c r="A81" s="295" t="s">
        <v>6</v>
      </c>
      <c r="B81" s="387">
        <f>B28</f>
        <v>99.3</v>
      </c>
    </row>
    <row r="82" spans="1:12" s="14" customFormat="1" ht="27" customHeight="1" x14ac:dyDescent="0.4">
      <c r="A82" s="295" t="s">
        <v>48</v>
      </c>
      <c r="B82" s="297">
        <v>0</v>
      </c>
      <c r="C82" s="537" t="s">
        <v>49</v>
      </c>
      <c r="D82" s="538"/>
      <c r="E82" s="538"/>
      <c r="F82" s="538"/>
      <c r="G82" s="539"/>
      <c r="I82" s="298"/>
      <c r="J82" s="298"/>
      <c r="K82" s="298"/>
      <c r="L82" s="298"/>
    </row>
    <row r="83" spans="1:12" s="14" customFormat="1" ht="19.5" customHeight="1" x14ac:dyDescent="0.3">
      <c r="A83" s="295" t="s">
        <v>50</v>
      </c>
      <c r="B83" s="299">
        <f>B81-B82</f>
        <v>99.3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51</v>
      </c>
      <c r="B84" s="302">
        <v>1</v>
      </c>
      <c r="C84" s="540" t="s">
        <v>110</v>
      </c>
      <c r="D84" s="541"/>
      <c r="E84" s="541"/>
      <c r="F84" s="541"/>
      <c r="G84" s="541"/>
      <c r="H84" s="542"/>
      <c r="I84" s="298"/>
      <c r="J84" s="298"/>
      <c r="K84" s="298"/>
      <c r="L84" s="298"/>
    </row>
    <row r="85" spans="1:12" s="14" customFormat="1" ht="27" customHeight="1" x14ac:dyDescent="0.4">
      <c r="A85" s="295" t="s">
        <v>53</v>
      </c>
      <c r="B85" s="302">
        <v>1</v>
      </c>
      <c r="C85" s="540" t="s">
        <v>111</v>
      </c>
      <c r="D85" s="541"/>
      <c r="E85" s="541"/>
      <c r="F85" s="541"/>
      <c r="G85" s="541"/>
      <c r="H85" s="542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55</v>
      </c>
      <c r="B87" s="307">
        <f>B84/B85</f>
        <v>1</v>
      </c>
      <c r="C87" s="285" t="s">
        <v>56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57</v>
      </c>
      <c r="B89" s="309">
        <v>50</v>
      </c>
      <c r="D89" s="388" t="s">
        <v>58</v>
      </c>
      <c r="E89" s="389"/>
      <c r="F89" s="543" t="s">
        <v>59</v>
      </c>
      <c r="G89" s="544"/>
    </row>
    <row r="90" spans="1:12" ht="27" customHeight="1" x14ac:dyDescent="0.4">
      <c r="A90" s="310" t="s">
        <v>60</v>
      </c>
      <c r="B90" s="311">
        <v>1</v>
      </c>
      <c r="C90" s="390" t="s">
        <v>61</v>
      </c>
      <c r="D90" s="313" t="s">
        <v>62</v>
      </c>
      <c r="E90" s="314" t="s">
        <v>63</v>
      </c>
      <c r="F90" s="313" t="s">
        <v>62</v>
      </c>
      <c r="G90" s="391" t="s">
        <v>63</v>
      </c>
      <c r="I90" s="316" t="s">
        <v>64</v>
      </c>
    </row>
    <row r="91" spans="1:12" ht="26.25" customHeight="1" x14ac:dyDescent="0.4">
      <c r="A91" s="310" t="s">
        <v>65</v>
      </c>
      <c r="B91" s="311">
        <v>1</v>
      </c>
      <c r="C91" s="392">
        <v>1</v>
      </c>
      <c r="D91" s="517">
        <v>42655878</v>
      </c>
      <c r="E91" s="319">
        <f>IF(ISBLANK(D91),"-",$D$101/$D$98*D91)</f>
        <v>50027066.014899321</v>
      </c>
      <c r="F91" s="517">
        <v>44803635</v>
      </c>
      <c r="G91" s="320">
        <f>IF(ISBLANK(F91),"-",$D$101/$F$98*F91)</f>
        <v>49837413.069691077</v>
      </c>
      <c r="I91" s="321"/>
    </row>
    <row r="92" spans="1:12" ht="26.25" customHeight="1" x14ac:dyDescent="0.4">
      <c r="A92" s="310" t="s">
        <v>66</v>
      </c>
      <c r="B92" s="311">
        <v>1</v>
      </c>
      <c r="C92" s="377">
        <v>2</v>
      </c>
      <c r="D92" s="518">
        <v>42265757</v>
      </c>
      <c r="E92" s="324">
        <f>IF(ISBLANK(D92),"-",$D$101/$D$98*D92)</f>
        <v>49569529.798652679</v>
      </c>
      <c r="F92" s="518">
        <v>44637746</v>
      </c>
      <c r="G92" s="325">
        <f>IF(ISBLANK(F92),"-",$D$101/$F$98*F92)</f>
        <v>49652886.108503267</v>
      </c>
      <c r="I92" s="545">
        <f>ABS((F96/D96*D95)-F95)/D95</f>
        <v>3.7065878116987748E-4</v>
      </c>
    </row>
    <row r="93" spans="1:12" ht="26.25" customHeight="1" x14ac:dyDescent="0.4">
      <c r="A93" s="310" t="s">
        <v>67</v>
      </c>
      <c r="B93" s="311">
        <v>1</v>
      </c>
      <c r="C93" s="377">
        <v>3</v>
      </c>
      <c r="D93" s="518">
        <v>42488997</v>
      </c>
      <c r="E93" s="324">
        <f>IF(ISBLANK(D93),"-",$D$101/$D$98*D93)</f>
        <v>49831346.991049141</v>
      </c>
      <c r="F93" s="518">
        <v>44846516</v>
      </c>
      <c r="G93" s="325">
        <f>IF(ISBLANK(F93),"-",$D$101/$F$98*F93)</f>
        <v>49885111.835870236</v>
      </c>
      <c r="I93" s="545"/>
    </row>
    <row r="94" spans="1:12" ht="27" customHeight="1" x14ac:dyDescent="0.4">
      <c r="A94" s="310" t="s">
        <v>68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69</v>
      </c>
      <c r="B95" s="311">
        <v>1</v>
      </c>
      <c r="C95" s="395" t="s">
        <v>70</v>
      </c>
      <c r="D95" s="396">
        <f>AVERAGE(D91:D94)</f>
        <v>42470210.666666664</v>
      </c>
      <c r="E95" s="334">
        <f>AVERAGE(E91:E94)</f>
        <v>49809314.268200375</v>
      </c>
      <c r="F95" s="397">
        <f>AVERAGE(F91:F94)</f>
        <v>44762632.333333336</v>
      </c>
      <c r="G95" s="398">
        <f>AVERAGE(G91:G94)</f>
        <v>49791803.67135486</v>
      </c>
    </row>
    <row r="96" spans="1:12" ht="26.25" customHeight="1" x14ac:dyDescent="0.4">
      <c r="A96" s="310" t="s">
        <v>71</v>
      </c>
      <c r="B96" s="296">
        <v>1</v>
      </c>
      <c r="C96" s="399" t="s">
        <v>112</v>
      </c>
      <c r="D96" s="400">
        <v>12.88</v>
      </c>
      <c r="E96" s="326"/>
      <c r="F96" s="338">
        <v>13.58</v>
      </c>
    </row>
    <row r="97" spans="1:10" ht="26.25" customHeight="1" x14ac:dyDescent="0.4">
      <c r="A97" s="310" t="s">
        <v>73</v>
      </c>
      <c r="B97" s="296">
        <v>1</v>
      </c>
      <c r="C97" s="401" t="s">
        <v>113</v>
      </c>
      <c r="D97" s="402">
        <f>D96*$B$87</f>
        <v>12.88</v>
      </c>
      <c r="E97" s="341"/>
      <c r="F97" s="340">
        <f>F96*$B$87</f>
        <v>13.58</v>
      </c>
    </row>
    <row r="98" spans="1:10" ht="19.5" customHeight="1" x14ac:dyDescent="0.3">
      <c r="A98" s="310" t="s">
        <v>75</v>
      </c>
      <c r="B98" s="403">
        <f>(B97/B96)*(B95/B94)*(B93/B92)*(B91/B90)*B89</f>
        <v>50</v>
      </c>
      <c r="C98" s="401" t="s">
        <v>114</v>
      </c>
      <c r="D98" s="404">
        <f>D97*$B$83/100</f>
        <v>12.789840000000002</v>
      </c>
      <c r="E98" s="344"/>
      <c r="F98" s="343">
        <f>F97*$B$83/100</f>
        <v>13.48494</v>
      </c>
    </row>
    <row r="99" spans="1:10" ht="19.5" customHeight="1" x14ac:dyDescent="0.3">
      <c r="A99" s="531" t="s">
        <v>77</v>
      </c>
      <c r="B99" s="546"/>
      <c r="C99" s="401" t="s">
        <v>115</v>
      </c>
      <c r="D99" s="405">
        <f>D98/$B$98</f>
        <v>0.25579680000000005</v>
      </c>
      <c r="E99" s="344"/>
      <c r="F99" s="347">
        <f>F98/$B$98</f>
        <v>0.26969880000000002</v>
      </c>
      <c r="G99" s="406"/>
      <c r="H99" s="336"/>
    </row>
    <row r="100" spans="1:10" ht="19.5" customHeight="1" x14ac:dyDescent="0.3">
      <c r="A100" s="533"/>
      <c r="B100" s="547"/>
      <c r="C100" s="401" t="s">
        <v>79</v>
      </c>
      <c r="D100" s="407">
        <f>$B$56/$B$116</f>
        <v>0.3</v>
      </c>
      <c r="F100" s="352"/>
      <c r="G100" s="408"/>
      <c r="H100" s="336"/>
    </row>
    <row r="101" spans="1:10" ht="18.75" x14ac:dyDescent="0.3">
      <c r="C101" s="401" t="s">
        <v>80</v>
      </c>
      <c r="D101" s="402">
        <f>D100*$B$98</f>
        <v>15</v>
      </c>
      <c r="F101" s="352"/>
      <c r="G101" s="406"/>
      <c r="H101" s="336"/>
    </row>
    <row r="102" spans="1:10" ht="19.5" customHeight="1" x14ac:dyDescent="0.3">
      <c r="C102" s="409" t="s">
        <v>81</v>
      </c>
      <c r="D102" s="410">
        <f>D101/B34</f>
        <v>15</v>
      </c>
      <c r="F102" s="356"/>
      <c r="G102" s="406"/>
      <c r="H102" s="336"/>
      <c r="J102" s="411"/>
    </row>
    <row r="103" spans="1:10" ht="18.75" x14ac:dyDescent="0.3">
      <c r="C103" s="412" t="s">
        <v>116</v>
      </c>
      <c r="D103" s="413">
        <f>AVERAGE(E91:E94,G91:G94)</f>
        <v>49800558.969777621</v>
      </c>
      <c r="F103" s="356"/>
      <c r="G103" s="414"/>
      <c r="H103" s="336"/>
      <c r="J103" s="415"/>
    </row>
    <row r="104" spans="1:10" ht="18.75" x14ac:dyDescent="0.3">
      <c r="C104" s="379" t="s">
        <v>83</v>
      </c>
      <c r="D104" s="416">
        <f>STDEV(E91:E94,G91:G94)/D103</f>
        <v>3.3109941891347082E-3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117</v>
      </c>
      <c r="B107" s="309">
        <v>1000</v>
      </c>
      <c r="C107" s="456" t="s">
        <v>118</v>
      </c>
      <c r="D107" s="456" t="s">
        <v>62</v>
      </c>
      <c r="E107" s="456" t="s">
        <v>119</v>
      </c>
      <c r="F107" s="418" t="s">
        <v>120</v>
      </c>
    </row>
    <row r="108" spans="1:10" ht="26.25" customHeight="1" x14ac:dyDescent="0.4">
      <c r="A108" s="310" t="s">
        <v>121</v>
      </c>
      <c r="B108" s="311">
        <v>1</v>
      </c>
      <c r="C108" s="461">
        <v>1</v>
      </c>
      <c r="D108" s="462">
        <v>49057395</v>
      </c>
      <c r="E108" s="436">
        <f t="shared" ref="E108:E113" si="1">IF(ISBLANK(D108),"-",D108/$D$103*$D$100*$B$116)</f>
        <v>295.52315886517283</v>
      </c>
      <c r="F108" s="463">
        <f t="shared" ref="F108:F113" si="2">IF(ISBLANK(D108), "-", (E108/$B$56)*100)</f>
        <v>98.507719621724277</v>
      </c>
    </row>
    <row r="109" spans="1:10" ht="26.25" customHeight="1" x14ac:dyDescent="0.4">
      <c r="A109" s="310" t="s">
        <v>94</v>
      </c>
      <c r="B109" s="311">
        <v>1</v>
      </c>
      <c r="C109" s="457">
        <v>2</v>
      </c>
      <c r="D109" s="459">
        <v>49156517</v>
      </c>
      <c r="E109" s="437">
        <f t="shared" si="1"/>
        <v>296.1202726449207</v>
      </c>
      <c r="F109" s="464">
        <f t="shared" si="2"/>
        <v>98.706757548306896</v>
      </c>
    </row>
    <row r="110" spans="1:10" ht="26.25" customHeight="1" x14ac:dyDescent="0.4">
      <c r="A110" s="310" t="s">
        <v>95</v>
      </c>
      <c r="B110" s="311">
        <v>1</v>
      </c>
      <c r="C110" s="457">
        <v>3</v>
      </c>
      <c r="D110" s="459">
        <v>48502209</v>
      </c>
      <c r="E110" s="437">
        <f t="shared" si="1"/>
        <v>292.17870242842724</v>
      </c>
      <c r="F110" s="464">
        <f t="shared" si="2"/>
        <v>97.392900809475748</v>
      </c>
    </row>
    <row r="111" spans="1:10" ht="26.25" customHeight="1" x14ac:dyDescent="0.4">
      <c r="A111" s="310" t="s">
        <v>96</v>
      </c>
      <c r="B111" s="311">
        <v>1</v>
      </c>
      <c r="C111" s="457">
        <v>4</v>
      </c>
      <c r="D111" s="459">
        <v>48881231</v>
      </c>
      <c r="E111" s="437">
        <f t="shared" si="1"/>
        <v>294.46194186092043</v>
      </c>
      <c r="F111" s="464">
        <f t="shared" si="2"/>
        <v>98.153980620306811</v>
      </c>
    </row>
    <row r="112" spans="1:10" ht="26.25" customHeight="1" x14ac:dyDescent="0.4">
      <c r="A112" s="310" t="s">
        <v>97</v>
      </c>
      <c r="B112" s="311">
        <v>1</v>
      </c>
      <c r="C112" s="457">
        <v>5</v>
      </c>
      <c r="D112" s="459">
        <v>48978837</v>
      </c>
      <c r="E112" s="437">
        <f t="shared" si="1"/>
        <v>295.04992321305292</v>
      </c>
      <c r="F112" s="464">
        <f t="shared" si="2"/>
        <v>98.349974404350974</v>
      </c>
    </row>
    <row r="113" spans="1:10" ht="27" customHeight="1" x14ac:dyDescent="0.4">
      <c r="A113" s="310" t="s">
        <v>99</v>
      </c>
      <c r="B113" s="311">
        <v>1</v>
      </c>
      <c r="C113" s="458">
        <v>6</v>
      </c>
      <c r="D113" s="460">
        <v>49401674</v>
      </c>
      <c r="E113" s="438">
        <f t="shared" si="1"/>
        <v>297.59710546610711</v>
      </c>
      <c r="F113" s="465">
        <f t="shared" si="2"/>
        <v>99.199035155369046</v>
      </c>
    </row>
    <row r="114" spans="1:10" ht="27" customHeight="1" x14ac:dyDescent="0.4">
      <c r="A114" s="310" t="s">
        <v>100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101</v>
      </c>
      <c r="B115" s="311">
        <v>1</v>
      </c>
      <c r="C115" s="419"/>
      <c r="D115" s="443" t="s">
        <v>70</v>
      </c>
      <c r="E115" s="445">
        <f>AVERAGE(E108:E113)</f>
        <v>295.15518407976691</v>
      </c>
      <c r="F115" s="467">
        <f>AVERAGE(F108:F113)</f>
        <v>98.38506135992229</v>
      </c>
    </row>
    <row r="116" spans="1:10" ht="27" customHeight="1" x14ac:dyDescent="0.4">
      <c r="A116" s="310" t="s">
        <v>102</v>
      </c>
      <c r="B116" s="342">
        <f>(B115/B114)*(B113/B112)*(B111/B110)*(B109/B108)*B107</f>
        <v>1000</v>
      </c>
      <c r="C116" s="420"/>
      <c r="D116" s="444" t="s">
        <v>83</v>
      </c>
      <c r="E116" s="442">
        <f>STDEV(E108:E113)/E115</f>
        <v>6.1324401325461662E-3</v>
      </c>
      <c r="F116" s="421">
        <f>STDEV(F108:F113)/F115</f>
        <v>6.1324401325461879E-3</v>
      </c>
      <c r="I116" s="284"/>
    </row>
    <row r="117" spans="1:10" ht="27" customHeight="1" x14ac:dyDescent="0.4">
      <c r="A117" s="531" t="s">
        <v>77</v>
      </c>
      <c r="B117" s="532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533"/>
      <c r="B118" s="534"/>
      <c r="C118" s="284"/>
      <c r="D118" s="446"/>
      <c r="E118" s="559" t="s">
        <v>122</v>
      </c>
      <c r="F118" s="560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123</v>
      </c>
      <c r="E119" s="449">
        <f>MIN(E108:E113)</f>
        <v>292.17870242842724</v>
      </c>
      <c r="F119" s="468">
        <f>MIN(F108:F113)</f>
        <v>97.392900809475748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124</v>
      </c>
      <c r="E120" s="450">
        <f>MAX(E108:E113)</f>
        <v>297.59710546610711</v>
      </c>
      <c r="F120" s="469">
        <f>MAX(F108:F113)</f>
        <v>99.199035155369046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105</v>
      </c>
      <c r="B124" s="383" t="s">
        <v>125</v>
      </c>
      <c r="C124" s="535" t="str">
        <f>B26</f>
        <v>Lamivudine</v>
      </c>
      <c r="D124" s="535"/>
      <c r="E124" s="384" t="s">
        <v>126</v>
      </c>
      <c r="F124" s="384"/>
      <c r="G124" s="470">
        <f>F115</f>
        <v>98.38506135992229</v>
      </c>
      <c r="H124" s="284"/>
      <c r="I124" s="284"/>
    </row>
    <row r="125" spans="1:10" ht="45.75" customHeight="1" x14ac:dyDescent="0.65">
      <c r="A125" s="294"/>
      <c r="B125" s="383" t="s">
        <v>127</v>
      </c>
      <c r="C125" s="295" t="s">
        <v>128</v>
      </c>
      <c r="D125" s="470">
        <f>MIN(F108:F113)</f>
        <v>97.392900809475748</v>
      </c>
      <c r="E125" s="395" t="s">
        <v>129</v>
      </c>
      <c r="F125" s="470">
        <f>MAX(F108:F113)</f>
        <v>99.199035155369046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536" t="s">
        <v>25</v>
      </c>
      <c r="C127" s="536"/>
      <c r="E127" s="390" t="s">
        <v>26</v>
      </c>
      <c r="F127" s="425"/>
      <c r="G127" s="536" t="s">
        <v>27</v>
      </c>
      <c r="H127" s="536"/>
    </row>
    <row r="128" spans="1:10" ht="69.95" customHeight="1" x14ac:dyDescent="0.3">
      <c r="A128" s="426" t="s">
        <v>28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29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C42" sqref="C42"/>
    </sheetView>
  </sheetViews>
  <sheetFormatPr defaultRowHeight="13.5" x14ac:dyDescent="0.25"/>
  <cols>
    <col min="1" max="1" width="27.5703125" style="472" customWidth="1"/>
    <col min="2" max="2" width="20.42578125" style="472" customWidth="1"/>
    <col min="3" max="3" width="31.85546875" style="472" customWidth="1"/>
    <col min="4" max="4" width="25.85546875" style="472" customWidth="1"/>
    <col min="5" max="5" width="25.7109375" style="472" customWidth="1"/>
    <col min="6" max="6" width="23.140625" style="472" customWidth="1"/>
    <col min="7" max="7" width="28.42578125" style="472" customWidth="1"/>
    <col min="8" max="8" width="21.5703125" style="472" customWidth="1"/>
    <col min="9" max="9" width="9.140625" style="472" customWidth="1"/>
    <col min="10" max="16384" width="9.140625" style="508"/>
  </cols>
  <sheetData>
    <row r="14" spans="1:6" ht="15" customHeight="1" x14ac:dyDescent="0.3">
      <c r="A14" s="471"/>
      <c r="C14" s="473"/>
      <c r="F14" s="473"/>
    </row>
    <row r="15" spans="1:6" ht="18.75" customHeight="1" x14ac:dyDescent="0.3">
      <c r="A15" s="570" t="s">
        <v>0</v>
      </c>
      <c r="B15" s="570"/>
      <c r="C15" s="570"/>
      <c r="D15" s="570"/>
      <c r="E15" s="570"/>
    </row>
    <row r="16" spans="1:6" ht="16.5" customHeight="1" x14ac:dyDescent="0.3">
      <c r="A16" s="474" t="s">
        <v>1</v>
      </c>
      <c r="B16" s="475" t="s">
        <v>2</v>
      </c>
    </row>
    <row r="17" spans="1:5" ht="16.5" customHeight="1" x14ac:dyDescent="0.3">
      <c r="A17" s="476" t="s">
        <v>3</v>
      </c>
      <c r="B17" s="476" t="s">
        <v>5</v>
      </c>
      <c r="D17" s="477"/>
      <c r="E17" s="478"/>
    </row>
    <row r="18" spans="1:5" ht="16.5" customHeight="1" x14ac:dyDescent="0.3">
      <c r="A18" s="479" t="s">
        <v>4</v>
      </c>
      <c r="B18" s="472" t="s">
        <v>130</v>
      </c>
      <c r="C18" s="478"/>
      <c r="D18" s="478"/>
      <c r="E18" s="478"/>
    </row>
    <row r="19" spans="1:5" ht="16.5" customHeight="1" x14ac:dyDescent="0.3">
      <c r="A19" s="479" t="s">
        <v>6</v>
      </c>
      <c r="B19" s="480">
        <v>98.8</v>
      </c>
      <c r="C19" s="478"/>
      <c r="D19" s="478"/>
      <c r="E19" s="478"/>
    </row>
    <row r="20" spans="1:5" ht="16.5" customHeight="1" x14ac:dyDescent="0.3">
      <c r="A20" s="476" t="s">
        <v>8</v>
      </c>
      <c r="B20" s="480">
        <v>13.02</v>
      </c>
      <c r="C20" s="478"/>
      <c r="D20" s="478"/>
      <c r="E20" s="478"/>
    </row>
    <row r="21" spans="1:5" ht="16.5" customHeight="1" x14ac:dyDescent="0.3">
      <c r="A21" s="476" t="s">
        <v>10</v>
      </c>
      <c r="B21" s="481">
        <f>B20/50</f>
        <v>0.26039999999999996</v>
      </c>
      <c r="C21" s="478"/>
      <c r="D21" s="478"/>
      <c r="E21" s="478"/>
    </row>
    <row r="22" spans="1:5" ht="15.75" customHeight="1" x14ac:dyDescent="0.25">
      <c r="A22" s="478"/>
      <c r="B22" s="478"/>
      <c r="C22" s="478"/>
      <c r="D22" s="478"/>
      <c r="E22" s="478"/>
    </row>
    <row r="23" spans="1:5" ht="16.5" customHeight="1" x14ac:dyDescent="0.3">
      <c r="A23" s="482" t="s">
        <v>13</v>
      </c>
      <c r="B23" s="483" t="s">
        <v>14</v>
      </c>
      <c r="C23" s="482" t="s">
        <v>15</v>
      </c>
      <c r="D23" s="482" t="s">
        <v>16</v>
      </c>
      <c r="E23" s="482" t="s">
        <v>17</v>
      </c>
    </row>
    <row r="24" spans="1:5" ht="16.5" customHeight="1" x14ac:dyDescent="0.3">
      <c r="A24" s="484">
        <v>1</v>
      </c>
      <c r="B24" s="485">
        <v>60515392</v>
      </c>
      <c r="C24" s="485">
        <v>122355</v>
      </c>
      <c r="D24" s="486">
        <v>1.1000000000000001</v>
      </c>
      <c r="E24" s="487">
        <v>6.8</v>
      </c>
    </row>
    <row r="25" spans="1:5" ht="16.5" customHeight="1" x14ac:dyDescent="0.3">
      <c r="A25" s="484">
        <v>2</v>
      </c>
      <c r="B25" s="485">
        <v>60718249</v>
      </c>
      <c r="C25" s="485">
        <v>121063.6</v>
      </c>
      <c r="D25" s="486">
        <v>1.1000000000000001</v>
      </c>
      <c r="E25" s="486">
        <v>6.8</v>
      </c>
    </row>
    <row r="26" spans="1:5" ht="16.5" customHeight="1" x14ac:dyDescent="0.3">
      <c r="A26" s="484">
        <v>3</v>
      </c>
      <c r="B26" s="485">
        <v>60659300</v>
      </c>
      <c r="C26" s="485">
        <v>122629.6</v>
      </c>
      <c r="D26" s="486">
        <v>1.1000000000000001</v>
      </c>
      <c r="E26" s="486">
        <v>6.8</v>
      </c>
    </row>
    <row r="27" spans="1:5" ht="16.5" customHeight="1" x14ac:dyDescent="0.3">
      <c r="A27" s="484">
        <v>4</v>
      </c>
      <c r="B27" s="485">
        <v>60456985</v>
      </c>
      <c r="C27" s="485">
        <v>121718.5</v>
      </c>
      <c r="D27" s="486">
        <v>1</v>
      </c>
      <c r="E27" s="486">
        <v>6.8</v>
      </c>
    </row>
    <row r="28" spans="1:5" ht="16.5" customHeight="1" x14ac:dyDescent="0.3">
      <c r="A28" s="484">
        <v>5</v>
      </c>
      <c r="B28" s="485">
        <v>60494185</v>
      </c>
      <c r="C28" s="485">
        <v>121932.9</v>
      </c>
      <c r="D28" s="486">
        <v>1.1000000000000001</v>
      </c>
      <c r="E28" s="486">
        <v>6.8</v>
      </c>
    </row>
    <row r="29" spans="1:5" ht="16.5" customHeight="1" x14ac:dyDescent="0.3">
      <c r="A29" s="484">
        <v>6</v>
      </c>
      <c r="B29" s="488">
        <v>60473296</v>
      </c>
      <c r="C29" s="488">
        <v>120772.3</v>
      </c>
      <c r="D29" s="489">
        <v>1.1000000000000001</v>
      </c>
      <c r="E29" s="489">
        <v>6.8</v>
      </c>
    </row>
    <row r="30" spans="1:5" ht="16.5" customHeight="1" x14ac:dyDescent="0.3">
      <c r="A30" s="490" t="s">
        <v>18</v>
      </c>
      <c r="B30" s="491">
        <f>AVERAGE(B24:B29)</f>
        <v>60552901.166666664</v>
      </c>
      <c r="C30" s="492">
        <f>AVERAGE(C24:C29)</f>
        <v>121745.31666666667</v>
      </c>
      <c r="D30" s="493">
        <f>AVERAGE(D24:D29)</f>
        <v>1.0833333333333333</v>
      </c>
      <c r="E30" s="493">
        <f>AVERAGE(E24:E29)</f>
        <v>6.8</v>
      </c>
    </row>
    <row r="31" spans="1:5" ht="16.5" customHeight="1" x14ac:dyDescent="0.3">
      <c r="A31" s="494" t="s">
        <v>19</v>
      </c>
      <c r="B31" s="495">
        <f>(STDEV(B24:B29)/B30)</f>
        <v>1.794723230672961E-3</v>
      </c>
      <c r="C31" s="496"/>
      <c r="D31" s="496"/>
      <c r="E31" s="497"/>
    </row>
    <row r="32" spans="1:5" s="472" customFormat="1" ht="16.5" customHeight="1" x14ac:dyDescent="0.3">
      <c r="A32" s="498" t="s">
        <v>20</v>
      </c>
      <c r="B32" s="499">
        <f>COUNT(B24:B29)</f>
        <v>6</v>
      </c>
      <c r="C32" s="500"/>
      <c r="D32" s="501"/>
      <c r="E32" s="502"/>
    </row>
    <row r="33" spans="1:5" s="472" customFormat="1" ht="15.75" customHeight="1" x14ac:dyDescent="0.25">
      <c r="A33" s="478"/>
      <c r="B33" s="478"/>
      <c r="C33" s="478"/>
      <c r="D33" s="478"/>
      <c r="E33" s="478"/>
    </row>
    <row r="34" spans="1:5" s="472" customFormat="1" ht="16.5" customHeight="1" x14ac:dyDescent="0.3">
      <c r="A34" s="479" t="s">
        <v>21</v>
      </c>
      <c r="B34" s="503" t="s">
        <v>22</v>
      </c>
      <c r="C34" s="504"/>
      <c r="D34" s="504"/>
      <c r="E34" s="504"/>
    </row>
    <row r="35" spans="1:5" ht="16.5" customHeight="1" x14ac:dyDescent="0.3">
      <c r="A35" s="479"/>
      <c r="B35" s="503" t="s">
        <v>23</v>
      </c>
      <c r="C35" s="504"/>
      <c r="D35" s="504"/>
      <c r="E35" s="504"/>
    </row>
    <row r="36" spans="1:5" ht="16.5" customHeight="1" x14ac:dyDescent="0.3">
      <c r="A36" s="479"/>
      <c r="B36" s="503" t="s">
        <v>24</v>
      </c>
      <c r="C36" s="504"/>
      <c r="D36" s="504"/>
      <c r="E36" s="504"/>
    </row>
    <row r="37" spans="1:5" ht="15.75" customHeight="1" x14ac:dyDescent="0.25">
      <c r="A37" s="478"/>
      <c r="B37" s="478"/>
      <c r="C37" s="478"/>
      <c r="D37" s="478"/>
      <c r="E37" s="478"/>
    </row>
    <row r="38" spans="1:5" ht="16.5" customHeight="1" x14ac:dyDescent="0.3">
      <c r="A38" s="474" t="s">
        <v>1</v>
      </c>
      <c r="B38" s="475"/>
    </row>
    <row r="39" spans="1:5" ht="16.5" customHeight="1" x14ac:dyDescent="0.3">
      <c r="A39" s="479" t="s">
        <v>4</v>
      </c>
      <c r="B39" s="476" t="s">
        <v>131</v>
      </c>
      <c r="C39" s="478"/>
      <c r="D39" s="478"/>
      <c r="E39" s="478"/>
    </row>
    <row r="40" spans="1:5" ht="16.5" customHeight="1" x14ac:dyDescent="0.3">
      <c r="A40" s="479" t="s">
        <v>6</v>
      </c>
      <c r="B40" s="480">
        <v>99.3</v>
      </c>
      <c r="C40" s="478"/>
      <c r="D40" s="478"/>
      <c r="E40" s="478"/>
    </row>
    <row r="41" spans="1:5" ht="16.5" customHeight="1" x14ac:dyDescent="0.3">
      <c r="A41" s="476" t="s">
        <v>8</v>
      </c>
      <c r="B41" s="480">
        <v>12.88</v>
      </c>
      <c r="C41" s="478"/>
      <c r="D41" s="478"/>
      <c r="E41" s="478"/>
    </row>
    <row r="42" spans="1:5" ht="16.5" customHeight="1" x14ac:dyDescent="0.3">
      <c r="A42" s="476" t="s">
        <v>10</v>
      </c>
      <c r="B42" s="481">
        <f>B41/50</f>
        <v>0.2576</v>
      </c>
      <c r="C42" s="478"/>
      <c r="D42" s="478"/>
      <c r="E42" s="478"/>
    </row>
    <row r="43" spans="1:5" ht="15.75" customHeight="1" x14ac:dyDescent="0.25">
      <c r="A43" s="478"/>
      <c r="B43" s="478"/>
      <c r="C43" s="478"/>
      <c r="D43" s="478"/>
      <c r="E43" s="478"/>
    </row>
    <row r="44" spans="1:5" ht="16.5" customHeight="1" x14ac:dyDescent="0.3">
      <c r="A44" s="482" t="s">
        <v>13</v>
      </c>
      <c r="B44" s="483" t="s">
        <v>14</v>
      </c>
      <c r="C44" s="482" t="s">
        <v>15</v>
      </c>
      <c r="D44" s="482" t="s">
        <v>16</v>
      </c>
      <c r="E44" s="482" t="s">
        <v>17</v>
      </c>
    </row>
    <row r="45" spans="1:5" ht="16.5" customHeight="1" x14ac:dyDescent="0.3">
      <c r="A45" s="484">
        <v>1</v>
      </c>
      <c r="B45" s="485">
        <v>42927880</v>
      </c>
      <c r="C45" s="485">
        <v>17497.599999999999</v>
      </c>
      <c r="D45" s="486">
        <v>1.3</v>
      </c>
      <c r="E45" s="487">
        <v>2.6</v>
      </c>
    </row>
    <row r="46" spans="1:5" ht="16.5" customHeight="1" x14ac:dyDescent="0.3">
      <c r="A46" s="484">
        <v>2</v>
      </c>
      <c r="B46" s="485">
        <v>42492230</v>
      </c>
      <c r="C46" s="485">
        <v>17645.5</v>
      </c>
      <c r="D46" s="486">
        <v>1.2</v>
      </c>
      <c r="E46" s="486">
        <v>2.6</v>
      </c>
    </row>
    <row r="47" spans="1:5" ht="16.5" customHeight="1" x14ac:dyDescent="0.3">
      <c r="A47" s="484">
        <v>3</v>
      </c>
      <c r="B47" s="485">
        <v>42541843</v>
      </c>
      <c r="C47" s="485">
        <v>17721.2</v>
      </c>
      <c r="D47" s="486">
        <v>1.2</v>
      </c>
      <c r="E47" s="486">
        <v>2.6</v>
      </c>
    </row>
    <row r="48" spans="1:5" ht="16.5" customHeight="1" x14ac:dyDescent="0.3">
      <c r="A48" s="484">
        <v>4</v>
      </c>
      <c r="B48" s="485">
        <v>42463639</v>
      </c>
      <c r="C48" s="485">
        <v>17633.099999999999</v>
      </c>
      <c r="D48" s="486">
        <v>1.2</v>
      </c>
      <c r="E48" s="486">
        <v>2.6</v>
      </c>
    </row>
    <row r="49" spans="1:7" ht="16.5" customHeight="1" x14ac:dyDescent="0.3">
      <c r="A49" s="484">
        <v>5</v>
      </c>
      <c r="B49" s="485">
        <v>43052804</v>
      </c>
      <c r="C49" s="485">
        <v>17612.5</v>
      </c>
      <c r="D49" s="486">
        <v>1.2</v>
      </c>
      <c r="E49" s="486">
        <v>2.6</v>
      </c>
    </row>
    <row r="50" spans="1:7" ht="16.5" customHeight="1" x14ac:dyDescent="0.3">
      <c r="A50" s="484">
        <v>6</v>
      </c>
      <c r="B50" s="488">
        <v>42590464</v>
      </c>
      <c r="C50" s="488">
        <v>17621.400000000001</v>
      </c>
      <c r="D50" s="489">
        <v>1.2</v>
      </c>
      <c r="E50" s="489">
        <v>2.6</v>
      </c>
    </row>
    <row r="51" spans="1:7" ht="16.5" customHeight="1" x14ac:dyDescent="0.3">
      <c r="A51" s="490" t="s">
        <v>18</v>
      </c>
      <c r="B51" s="491">
        <f>AVERAGE(B45:B50)</f>
        <v>42678143.333333336</v>
      </c>
      <c r="C51" s="492">
        <f>AVERAGE(C45:C50)</f>
        <v>17621.883333333331</v>
      </c>
      <c r="D51" s="493">
        <f>AVERAGE(D45:D50)</f>
        <v>1.2166666666666668</v>
      </c>
      <c r="E51" s="493">
        <f>AVERAGE(E45:E50)</f>
        <v>2.6</v>
      </c>
    </row>
    <row r="52" spans="1:7" ht="16.5" customHeight="1" x14ac:dyDescent="0.3">
      <c r="A52" s="494" t="s">
        <v>19</v>
      </c>
      <c r="B52" s="495">
        <f>(STDEV(B45:B50)/B51)</f>
        <v>5.8303706820988233E-3</v>
      </c>
      <c r="C52" s="496"/>
      <c r="D52" s="496"/>
      <c r="E52" s="497"/>
    </row>
    <row r="53" spans="1:7" s="472" customFormat="1" ht="16.5" customHeight="1" x14ac:dyDescent="0.3">
      <c r="A53" s="498" t="s">
        <v>20</v>
      </c>
      <c r="B53" s="499">
        <f>COUNT(B45:B50)</f>
        <v>6</v>
      </c>
      <c r="C53" s="500"/>
      <c r="D53" s="501"/>
      <c r="E53" s="502"/>
    </row>
    <row r="54" spans="1:7" s="472" customFormat="1" ht="15.75" customHeight="1" x14ac:dyDescent="0.25">
      <c r="A54" s="478"/>
      <c r="B54" s="478"/>
      <c r="C54" s="478"/>
      <c r="D54" s="478"/>
      <c r="E54" s="478"/>
    </row>
    <row r="55" spans="1:7" s="472" customFormat="1" ht="16.5" customHeight="1" x14ac:dyDescent="0.3">
      <c r="A55" s="479" t="s">
        <v>21</v>
      </c>
      <c r="B55" s="503" t="s">
        <v>22</v>
      </c>
      <c r="C55" s="504"/>
      <c r="D55" s="504"/>
      <c r="E55" s="504"/>
    </row>
    <row r="56" spans="1:7" ht="16.5" customHeight="1" x14ac:dyDescent="0.3">
      <c r="A56" s="479"/>
      <c r="B56" s="503" t="s">
        <v>23</v>
      </c>
      <c r="C56" s="504"/>
      <c r="D56" s="504"/>
      <c r="E56" s="504"/>
    </row>
    <row r="57" spans="1:7" ht="16.5" customHeight="1" x14ac:dyDescent="0.3">
      <c r="A57" s="479"/>
      <c r="B57" s="503" t="s">
        <v>24</v>
      </c>
      <c r="C57" s="504"/>
      <c r="D57" s="504"/>
      <c r="E57" s="504"/>
    </row>
    <row r="58" spans="1:7" ht="14.25" customHeight="1" thickBot="1" x14ac:dyDescent="0.3">
      <c r="A58" s="505"/>
      <c r="B58" s="506"/>
      <c r="D58" s="507"/>
      <c r="F58" s="508"/>
      <c r="G58" s="508"/>
    </row>
    <row r="59" spans="1:7" ht="15" customHeight="1" x14ac:dyDescent="0.3">
      <c r="B59" s="571" t="s">
        <v>25</v>
      </c>
      <c r="C59" s="571"/>
      <c r="E59" s="509" t="s">
        <v>26</v>
      </c>
      <c r="F59" s="510"/>
      <c r="G59" s="509" t="s">
        <v>27</v>
      </c>
    </row>
    <row r="60" spans="1:7" ht="15" customHeight="1" x14ac:dyDescent="0.3">
      <c r="A60" s="511" t="s">
        <v>28</v>
      </c>
      <c r="B60" s="512"/>
      <c r="C60" s="512"/>
      <c r="E60" s="512"/>
      <c r="G60" s="512"/>
    </row>
    <row r="61" spans="1:7" ht="15" customHeight="1" x14ac:dyDescent="0.3">
      <c r="A61" s="511" t="s">
        <v>29</v>
      </c>
      <c r="B61" s="513"/>
      <c r="C61" s="513"/>
      <c r="E61" s="513"/>
      <c r="G61" s="5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assay</vt:lpstr>
      <vt:lpstr>Uniformity</vt:lpstr>
      <vt:lpstr>tenofovir DF</vt:lpstr>
      <vt:lpstr>Lamivudine</vt:lpstr>
      <vt:lpstr>SST diss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cp:lastPrinted>2016-11-14T05:54:45Z</cp:lastPrinted>
  <dcterms:created xsi:type="dcterms:W3CDTF">2005-07-05T10:19:27Z</dcterms:created>
  <dcterms:modified xsi:type="dcterms:W3CDTF">2016-11-14T09:22:08Z</dcterms:modified>
</cp:coreProperties>
</file>