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52" windowWidth="15012" windowHeight="7620" activeTab="4"/>
  </bookViews>
  <sheets>
    <sheet name="Uniformity" sheetId="2" r:id="rId1"/>
    <sheet name="SST Lam" sheetId="1" r:id="rId2"/>
    <sheet name="SST Teno" sheetId="6" r:id="rId3"/>
    <sheet name="Lamivudine" sheetId="3" r:id="rId4"/>
    <sheet name="Tenofovir DF" sheetId="4" r:id="rId5"/>
  </sheets>
  <definedNames>
    <definedName name="_xlnm.Print_Area" localSheetId="3">Lamivudine!$A$1:$H$131</definedName>
    <definedName name="_xlnm.Print_Area" localSheetId="1">'SST Lam'!$A$1:$E$47</definedName>
    <definedName name="_xlnm.Print_Area" localSheetId="2">'SST Teno'!$A$1:$E$47</definedName>
    <definedName name="_xlnm.Print_Area" localSheetId="4">'Tenofovir DF'!$A$1:$H$130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D68" i="4" l="1"/>
  <c r="D64" i="4"/>
  <c r="D60" i="4"/>
  <c r="B28" i="1" l="1"/>
  <c r="B7" i="1"/>
  <c r="B21" i="4"/>
  <c r="B20" i="4"/>
  <c r="B39" i="6" l="1"/>
  <c r="B38" i="6"/>
  <c r="B37" i="6"/>
  <c r="B7" i="6"/>
  <c r="B28" i="6"/>
  <c r="B23" i="4"/>
  <c r="B22" i="4"/>
  <c r="E37" i="6"/>
  <c r="D37" i="6"/>
  <c r="C37" i="6"/>
  <c r="B18" i="6"/>
  <c r="E16" i="6"/>
  <c r="D16" i="6"/>
  <c r="C16" i="6"/>
  <c r="B16" i="6"/>
  <c r="B17" i="6" s="1"/>
  <c r="C124" i="4" l="1"/>
  <c r="B116" i="4"/>
  <c r="D100" i="4" s="1"/>
  <c r="B98" i="4"/>
  <c r="F95" i="4"/>
  <c r="D95" i="4"/>
  <c r="B87" i="4"/>
  <c r="D97" i="4" s="1"/>
  <c r="B83" i="4"/>
  <c r="B81" i="4"/>
  <c r="B80" i="4"/>
  <c r="B79" i="4"/>
  <c r="C76" i="4"/>
  <c r="B68" i="4"/>
  <c r="C56" i="4"/>
  <c r="B55" i="4"/>
  <c r="B45" i="4"/>
  <c r="D48" i="4" s="1"/>
  <c r="F42" i="4"/>
  <c r="D42" i="4"/>
  <c r="B34" i="4"/>
  <c r="B30" i="4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C46" i="2"/>
  <c r="B57" i="3" s="1"/>
  <c r="C45" i="2"/>
  <c r="C19" i="2"/>
  <c r="B39" i="1"/>
  <c r="E37" i="1"/>
  <c r="D37" i="1"/>
  <c r="C37" i="1"/>
  <c r="B37" i="1"/>
  <c r="B38" i="1" s="1"/>
  <c r="B18" i="1"/>
  <c r="E16" i="1"/>
  <c r="D16" i="1"/>
  <c r="C16" i="1"/>
  <c r="B16" i="1"/>
  <c r="B17" i="1" s="1"/>
  <c r="D29" i="2" l="1"/>
  <c r="B57" i="4"/>
  <c r="D27" i="2"/>
  <c r="D35" i="2"/>
  <c r="D43" i="2"/>
  <c r="D28" i="2"/>
  <c r="D36" i="2"/>
  <c r="D38" i="2"/>
  <c r="B49" i="2"/>
  <c r="D31" i="2"/>
  <c r="D39" i="2"/>
  <c r="C49" i="2"/>
  <c r="D24" i="2"/>
  <c r="D32" i="2"/>
  <c r="D40" i="2"/>
  <c r="D49" i="2"/>
  <c r="D25" i="2"/>
  <c r="D33" i="2"/>
  <c r="D41" i="2"/>
  <c r="C50" i="2"/>
  <c r="D37" i="2"/>
  <c r="D30" i="2"/>
  <c r="D26" i="2"/>
  <c r="D34" i="2"/>
  <c r="D42" i="2"/>
  <c r="D50" i="2"/>
  <c r="I92" i="4"/>
  <c r="D101" i="4"/>
  <c r="D102" i="4" s="1"/>
  <c r="F97" i="4"/>
  <c r="F98" i="4" s="1"/>
  <c r="D101" i="3"/>
  <c r="D102" i="3" s="1"/>
  <c r="I92" i="3"/>
  <c r="F97" i="3"/>
  <c r="F98" i="3" s="1"/>
  <c r="I39" i="4"/>
  <c r="D49" i="4"/>
  <c r="F44" i="4"/>
  <c r="F45" i="4" s="1"/>
  <c r="D44" i="4"/>
  <c r="D45" i="4" s="1"/>
  <c r="D98" i="4"/>
  <c r="I39" i="3"/>
  <c r="D49" i="3"/>
  <c r="F44" i="3"/>
  <c r="F45" i="3" s="1"/>
  <c r="G41" i="3" s="1"/>
  <c r="D44" i="3"/>
  <c r="D45" i="3" s="1"/>
  <c r="E38" i="3" s="1"/>
  <c r="D98" i="3"/>
  <c r="E39" i="3"/>
  <c r="B69" i="4"/>
  <c r="B69" i="3"/>
  <c r="G91" i="4" l="1"/>
  <c r="G94" i="4"/>
  <c r="F99" i="4"/>
  <c r="G92" i="4"/>
  <c r="G93" i="4"/>
  <c r="E39" i="4"/>
  <c r="D46" i="4"/>
  <c r="E38" i="4"/>
  <c r="E41" i="4"/>
  <c r="E40" i="4"/>
  <c r="G41" i="4"/>
  <c r="F46" i="4"/>
  <c r="G39" i="4"/>
  <c r="G38" i="4"/>
  <c r="G40" i="4"/>
  <c r="E93" i="4"/>
  <c r="E92" i="4"/>
  <c r="E94" i="4"/>
  <c r="E91" i="4"/>
  <c r="D99" i="4"/>
  <c r="G38" i="3"/>
  <c r="E40" i="3"/>
  <c r="F46" i="3"/>
  <c r="D46" i="3"/>
  <c r="E41" i="3"/>
  <c r="G39" i="3"/>
  <c r="G40" i="3"/>
  <c r="E94" i="3"/>
  <c r="E93" i="3"/>
  <c r="D99" i="3"/>
  <c r="E92" i="3"/>
  <c r="E91" i="3"/>
  <c r="F99" i="3"/>
  <c r="G94" i="3"/>
  <c r="G91" i="3"/>
  <c r="G93" i="3"/>
  <c r="G92" i="3"/>
  <c r="D52" i="4" l="1"/>
  <c r="G95" i="4"/>
  <c r="D50" i="4"/>
  <c r="G61" i="4" s="1"/>
  <c r="H61" i="4" s="1"/>
  <c r="E42" i="4"/>
  <c r="G70" i="4"/>
  <c r="H70" i="4" s="1"/>
  <c r="G68" i="4"/>
  <c r="H68" i="4" s="1"/>
  <c r="G69" i="4"/>
  <c r="H69" i="4" s="1"/>
  <c r="G71" i="4"/>
  <c r="H71" i="4" s="1"/>
  <c r="G60" i="4"/>
  <c r="G63" i="4"/>
  <c r="H63" i="4" s="1"/>
  <c r="D105" i="4"/>
  <c r="D103" i="4"/>
  <c r="E95" i="4"/>
  <c r="G42" i="4"/>
  <c r="E42" i="3"/>
  <c r="D50" i="3"/>
  <c r="D51" i="3" s="1"/>
  <c r="D52" i="3"/>
  <c r="G42" i="3"/>
  <c r="D103" i="3"/>
  <c r="D105" i="3"/>
  <c r="E95" i="3"/>
  <c r="G95" i="3"/>
  <c r="G65" i="4" l="1"/>
  <c r="H65" i="4" s="1"/>
  <c r="G64" i="4"/>
  <c r="H64" i="4" s="1"/>
  <c r="G66" i="4"/>
  <c r="H66" i="4" s="1"/>
  <c r="D51" i="4"/>
  <c r="G62" i="4"/>
  <c r="H62" i="4" s="1"/>
  <c r="G67" i="4"/>
  <c r="H67" i="4" s="1"/>
  <c r="H60" i="4"/>
  <c r="E112" i="4"/>
  <c r="F112" i="4" s="1"/>
  <c r="E108" i="4"/>
  <c r="E113" i="4"/>
  <c r="F113" i="4" s="1"/>
  <c r="E111" i="4"/>
  <c r="F111" i="4" s="1"/>
  <c r="E109" i="4"/>
  <c r="F109" i="4" s="1"/>
  <c r="D104" i="4"/>
  <c r="E110" i="4"/>
  <c r="F110" i="4" s="1"/>
  <c r="G66" i="3"/>
  <c r="H66" i="3" s="1"/>
  <c r="G63" i="3"/>
  <c r="H63" i="3" s="1"/>
  <c r="G65" i="3"/>
  <c r="H65" i="3" s="1"/>
  <c r="G69" i="3"/>
  <c r="H69" i="3" s="1"/>
  <c r="G71" i="3"/>
  <c r="H71" i="3" s="1"/>
  <c r="G64" i="3"/>
  <c r="H64" i="3" s="1"/>
  <c r="G67" i="3"/>
  <c r="H67" i="3" s="1"/>
  <c r="G70" i="3"/>
  <c r="H70" i="3" s="1"/>
  <c r="G68" i="3"/>
  <c r="H68" i="3" s="1"/>
  <c r="G61" i="3"/>
  <c r="H61" i="3" s="1"/>
  <c r="G60" i="3"/>
  <c r="G62" i="3"/>
  <c r="H62" i="3" s="1"/>
  <c r="E113" i="3"/>
  <c r="F113" i="3" s="1"/>
  <c r="E111" i="3"/>
  <c r="F111" i="3" s="1"/>
  <c r="E112" i="3"/>
  <c r="F112" i="3" s="1"/>
  <c r="E110" i="3"/>
  <c r="F110" i="3" s="1"/>
  <c r="E108" i="3"/>
  <c r="E109" i="3"/>
  <c r="F109" i="3" s="1"/>
  <c r="D104" i="3"/>
  <c r="G72" i="4" l="1"/>
  <c r="G73" i="4" s="1"/>
  <c r="G74" i="4"/>
  <c r="E119" i="4"/>
  <c r="E120" i="4"/>
  <c r="E117" i="4"/>
  <c r="F108" i="4"/>
  <c r="E115" i="4"/>
  <c r="E116" i="4" s="1"/>
  <c r="H74" i="4"/>
  <c r="H72" i="4"/>
  <c r="G72" i="3"/>
  <c r="G73" i="3" s="1"/>
  <c r="G74" i="3"/>
  <c r="H60" i="3"/>
  <c r="H74" i="3" s="1"/>
  <c r="E120" i="3"/>
  <c r="E117" i="3"/>
  <c r="F108" i="3"/>
  <c r="E119" i="3"/>
  <c r="E115" i="3"/>
  <c r="E116" i="3" s="1"/>
  <c r="G76" i="4" l="1"/>
  <c r="H73" i="4"/>
  <c r="D125" i="4"/>
  <c r="F115" i="4"/>
  <c r="F125" i="4"/>
  <c r="F120" i="4"/>
  <c r="F117" i="4"/>
  <c r="F119" i="4"/>
  <c r="H72" i="3"/>
  <c r="G76" i="3" s="1"/>
  <c r="D125" i="3"/>
  <c r="F115" i="3"/>
  <c r="F125" i="3"/>
  <c r="F120" i="3"/>
  <c r="F117" i="3"/>
  <c r="F119" i="3"/>
  <c r="G124" i="4" l="1"/>
  <c r="F116" i="4"/>
  <c r="H73" i="3"/>
  <c r="G124" i="3"/>
  <c r="F116" i="3"/>
</calcChain>
</file>

<file path=xl/sharedStrings.xml><?xml version="1.0" encoding="utf-8"?>
<sst xmlns="http://schemas.openxmlformats.org/spreadsheetml/2006/main" count="448" uniqueCount="141">
  <si>
    <t>HPLC System Suitability Report</t>
  </si>
  <si>
    <t>Analysis Data</t>
  </si>
  <si>
    <t>Assay</t>
  </si>
  <si>
    <t>Sample(s)</t>
  </si>
  <si>
    <t>Reference Substance:</t>
  </si>
  <si>
    <t>TENOFOVIR DISOPROXIL FUMARATE/ LAMIVUDINE/ EFAVIRENZ TABLETS 300 MG/300 MG/ 600 MG</t>
  </si>
  <si>
    <t>% age Purity:</t>
  </si>
  <si>
    <t>NDQB201609124</t>
  </si>
  <si>
    <t>Weight (mg):</t>
  </si>
  <si>
    <t xml:space="preserve">Tenofovir Disoproxil Fumarate , Lamivudine  &amp; Efavirenz </t>
  </si>
  <si>
    <t>Standard Conc (mg/mL):</t>
  </si>
  <si>
    <t>Each film coated tablet contains Tenofovir Disoproxil Fumarate 300 mg, Lamivudine USP 300 mg &amp; Efavirenz USP 600 mg tablets</t>
  </si>
  <si>
    <t>2016-09-30 12:19:40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</si>
  <si>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</si>
  <si>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</si>
  <si>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</si>
  <si>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</si>
  <si>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</si>
  <si>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</si>
  <si>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</si>
  <si>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</si>
  <si>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</si>
  <si>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</si>
  <si>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</si>
  <si>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</si>
  <si>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</si>
  <si>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</si>
  <si>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</si>
  <si>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</si>
  <si>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</si>
  <si>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</si>
  <si>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</si>
  <si>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</si>
  <si>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</si>
  <si>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</si>
  <si>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</si>
  <si>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</si>
  <si>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</si>
  <si>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</si>
  <si>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</si>
  <si>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</si>
  <si>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</si>
  <si>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</si>
  <si>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</si>
  <si>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</si>
  <si>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</si>
  <si>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</si>
  <si>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</si>
  <si>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</si>
  <si>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</si>
  <si>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</si>
  <si>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</si>
  <si>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</si>
  <si>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</si>
  <si>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</si>
  <si>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</si>
  <si>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</si>
  <si>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</si>
  <si>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</si>
  <si>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</si>
  <si>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</si>
  <si>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</si>
  <si>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</si>
  <si>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</si>
  <si>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</si>
  <si>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</si>
  <si>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</si>
  <si>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</si>
  <si>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</si>
  <si>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</si>
  <si>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</si>
  <si>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</si>
  <si>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</si>
  <si>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</si>
  <si>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</si>
  <si>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</si>
  <si>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</si>
  <si>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</si>
  <si>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</si>
  <si>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</si>
  <si>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</si>
  <si>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</si>
  <si>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</si>
  <si>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</si>
  <si>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</si>
  <si>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</si>
  <si>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</si>
  <si>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</si>
  <si>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</si>
  <si>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</si>
  <si>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</si>
  <si>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</si>
  <si>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</si>
  <si>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</si>
  <si>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</si>
  <si>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</si>
  <si>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</si>
  <si>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</si>
  <si>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</si>
  <si>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</si>
  <si>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</si>
  <si>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</si>
  <si>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</si>
  <si>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</si>
  <si>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</si>
  <si>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</si>
  <si>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</si>
  <si>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</si>
  <si>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</si>
  <si>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</si>
  <si>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</si>
  <si>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</si>
  <si>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</si>
  <si>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</si>
  <si>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</si>
  <si>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</si>
  <si>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</si>
  <si>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</si>
  <si>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</si>
  <si>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</si>
  <si>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</si>
  <si>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</si>
  <si>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</si>
  <si>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</si>
  <si>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</si>
  <si>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</si>
  <si>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</si>
  <si>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</si>
  <si>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</si>
  <si>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</si>
  <si>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</si>
  <si>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</si>
  <si>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L 10M388</t>
  </si>
  <si>
    <t>Tenofovir DF</t>
  </si>
  <si>
    <t>T11-8</t>
  </si>
  <si>
    <t xml:space="preserve">Tenofovir DF  </t>
  </si>
  <si>
    <t>Tenofovir Disoproxil Fumarate &amp; Lamivudine</t>
  </si>
  <si>
    <t>Each film coated tablet contains Tenofovir Disoproxil Fumarate 300 mg and Lamivudine USP 300 mg</t>
  </si>
  <si>
    <t>TENOFOVIR DISOPROXIL FUMARATE &amp; LAMIVUDINE TABLETS 300 mg/300 mg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</si>
  <si>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10000</t>
    </r>
  </si>
  <si>
    <t>NDQB201609123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</si>
</sst>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25" fillId="2" borderId="0"/>
    <xf numFmtId="0" fontId="25" fillId="2" borderId="0"/>
    <xf numFmtId="0" fontId="25" fillId="2" borderId="0"/>
    <xf numFmtId="0" fontId="25" fillId="2" borderId="0"/>
  </cellStyleXfs>
  <cellXfs count="5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3" fillId="3" borderId="22" xfId="0" applyFont="1" applyFill="1" applyBorder="1" applyAlignment="1" applyProtection="1">
      <alignment horizontal="center"/>
      <protection locked="0"/>
    </xf>
    <xf numFmtId="0" fontId="13" fillId="3" borderId="24" xfId="0" applyFont="1" applyFill="1" applyBorder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2" fontId="1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76" fontId="7" fillId="3" borderId="3" xfId="0" applyNumberFormat="1" applyFont="1" applyFill="1" applyBorder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23" xfId="3" applyFont="1" applyFill="1" applyBorder="1" applyAlignment="1" applyProtection="1">
      <alignment horizontal="center"/>
      <protection locked="0"/>
    </xf>
    <xf numFmtId="0" fontId="13" fillId="3" borderId="21" xfId="3" applyFont="1" applyFill="1" applyBorder="1" applyAlignment="1" applyProtection="1">
      <alignment horizontal="center"/>
      <protection locked="0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3" fillId="3" borderId="43" xfId="3" applyFont="1" applyFill="1" applyBorder="1" applyAlignment="1" applyProtection="1">
      <alignment horizontal="center"/>
      <protection locked="0"/>
    </xf>
    <xf numFmtId="1" fontId="13" fillId="3" borderId="13" xfId="3" applyNumberFormat="1" applyFont="1" applyFill="1" applyBorder="1" applyAlignment="1" applyProtection="1">
      <alignment horizontal="center"/>
      <protection locked="0"/>
    </xf>
    <xf numFmtId="1" fontId="13" fillId="3" borderId="14" xfId="3" applyNumberFormat="1" applyFont="1" applyFill="1" applyBorder="1" applyAlignment="1" applyProtection="1">
      <alignment horizontal="center"/>
      <protection locked="0"/>
    </xf>
    <xf numFmtId="1" fontId="13" fillId="3" borderId="15" xfId="3" applyNumberFormat="1" applyFont="1" applyFill="1" applyBorder="1" applyAlignment="1" applyProtection="1">
      <alignment horizontal="center"/>
      <protection locked="0"/>
    </xf>
  </cellXfs>
  <cellStyles count="5">
    <cellStyle name="Normal" xfId="0" builtinId="0"/>
    <cellStyle name="Normal 2" xfId="2"/>
    <cellStyle name="Normal 3" xfId="3"/>
    <cellStyle name="Normal 4" xfId="4"/>
    <cellStyle name="Normal 5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F42" sqref="F42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477" t="s">
        <v>31</v>
      </c>
      <c r="B11" s="478"/>
      <c r="C11" s="478"/>
      <c r="D11" s="478"/>
      <c r="E11" s="478"/>
      <c r="F11" s="479"/>
      <c r="G11" s="89"/>
    </row>
    <row r="12" spans="1:7" ht="16.5" customHeight="1" x14ac:dyDescent="0.3">
      <c r="A12" s="476" t="s">
        <v>32</v>
      </c>
      <c r="B12" s="476"/>
      <c r="C12" s="476"/>
      <c r="D12" s="476"/>
      <c r="E12" s="476"/>
      <c r="F12" s="476"/>
      <c r="G12" s="88"/>
    </row>
    <row r="14" spans="1:7" ht="16.5" customHeight="1" x14ac:dyDescent="0.3">
      <c r="A14" s="481" t="s">
        <v>33</v>
      </c>
      <c r="B14" s="481"/>
      <c r="C14" s="58" t="s">
        <v>5</v>
      </c>
    </row>
    <row r="15" spans="1:7" ht="16.5" customHeight="1" x14ac:dyDescent="0.3">
      <c r="A15" s="481" t="s">
        <v>34</v>
      </c>
      <c r="B15" s="481"/>
      <c r="C15" s="58" t="s">
        <v>7</v>
      </c>
    </row>
    <row r="16" spans="1:7" ht="16.5" customHeight="1" x14ac:dyDescent="0.3">
      <c r="A16" s="481" t="s">
        <v>35</v>
      </c>
      <c r="B16" s="481"/>
      <c r="C16" s="58" t="s">
        <v>9</v>
      </c>
    </row>
    <row r="17" spans="1:5" ht="16.5" customHeight="1" x14ac:dyDescent="0.3">
      <c r="A17" s="481" t="s">
        <v>36</v>
      </c>
      <c r="B17" s="481"/>
      <c r="C17" s="58" t="s">
        <v>11</v>
      </c>
    </row>
    <row r="18" spans="1:5" ht="16.5" customHeight="1" x14ac:dyDescent="0.3">
      <c r="A18" s="481" t="s">
        <v>37</v>
      </c>
      <c r="B18" s="481"/>
      <c r="C18" s="95" t="s">
        <v>12</v>
      </c>
    </row>
    <row r="19" spans="1:5" ht="16.5" customHeight="1" x14ac:dyDescent="0.3">
      <c r="A19" s="481" t="s">
        <v>38</v>
      </c>
      <c r="B19" s="481"/>
      <c r="C19" s="95" t="e">
        <f>#REF!</f>
        <v>#REF!</v>
      </c>
    </row>
    <row r="20" spans="1:5" ht="16.5" customHeight="1" x14ac:dyDescent="0.3">
      <c r="A20" s="60"/>
      <c r="B20" s="60"/>
      <c r="C20" s="75"/>
    </row>
    <row r="21" spans="1:5" ht="16.5" customHeight="1" x14ac:dyDescent="0.3">
      <c r="A21" s="476" t="s">
        <v>1</v>
      </c>
      <c r="B21" s="476"/>
      <c r="C21" s="57" t="s">
        <v>39</v>
      </c>
      <c r="D21" s="64"/>
    </row>
    <row r="22" spans="1:5" ht="15.75" customHeight="1" x14ac:dyDescent="0.3">
      <c r="A22" s="480"/>
      <c r="B22" s="480"/>
      <c r="C22" s="55"/>
      <c r="D22" s="480"/>
      <c r="E22" s="480"/>
    </row>
    <row r="23" spans="1:5" ht="33.75" customHeight="1" thickBot="1" x14ac:dyDescent="0.35">
      <c r="C23" s="84" t="s">
        <v>40</v>
      </c>
      <c r="D23" s="83" t="s">
        <v>41</v>
      </c>
      <c r="E23" s="50"/>
    </row>
    <row r="24" spans="1:5" ht="15.75" customHeight="1" x14ac:dyDescent="0.3">
      <c r="C24" s="93">
        <v>861.69</v>
      </c>
      <c r="D24" s="85">
        <f t="shared" ref="D24:D43" si="0">(C24-$C$46)/$C$46</f>
        <v>-6.6510991129764216E-4</v>
      </c>
      <c r="E24" s="51"/>
    </row>
    <row r="25" spans="1:5" ht="15.75" customHeight="1" x14ac:dyDescent="0.3">
      <c r="C25" s="93">
        <v>860.63</v>
      </c>
      <c r="D25" s="86">
        <f t="shared" si="0"/>
        <v>-1.8944325023618109E-3</v>
      </c>
      <c r="E25" s="51"/>
    </row>
    <row r="26" spans="1:5" ht="15.75" customHeight="1" x14ac:dyDescent="0.3">
      <c r="C26" s="93">
        <v>862.08</v>
      </c>
      <c r="D26" s="86">
        <f t="shared" si="0"/>
        <v>-2.1281197684954568E-4</v>
      </c>
      <c r="E26" s="51"/>
    </row>
    <row r="27" spans="1:5" ht="15.75" customHeight="1" x14ac:dyDescent="0.3">
      <c r="C27" s="93">
        <v>861.54</v>
      </c>
      <c r="D27" s="86">
        <f t="shared" si="0"/>
        <v>-8.3907065531625235E-4</v>
      </c>
      <c r="E27" s="51"/>
    </row>
    <row r="28" spans="1:5" ht="15.75" customHeight="1" x14ac:dyDescent="0.3">
      <c r="C28" s="93">
        <v>857.78</v>
      </c>
      <c r="D28" s="86">
        <f t="shared" si="0"/>
        <v>-5.199686638713427E-3</v>
      </c>
      <c r="E28" s="51"/>
    </row>
    <row r="29" spans="1:5" ht="15.75" customHeight="1" x14ac:dyDescent="0.3">
      <c r="C29" s="93">
        <v>865.22</v>
      </c>
      <c r="D29" s="86">
        <f t="shared" si="0"/>
        <v>3.4287662646044709E-3</v>
      </c>
      <c r="E29" s="51"/>
    </row>
    <row r="30" spans="1:5" ht="15.75" customHeight="1" x14ac:dyDescent="0.3">
      <c r="C30" s="93">
        <v>863.76</v>
      </c>
      <c r="D30" s="86">
        <f t="shared" si="0"/>
        <v>1.7355483561576493E-3</v>
      </c>
      <c r="E30" s="51"/>
    </row>
    <row r="31" spans="1:5" ht="15.75" customHeight="1" x14ac:dyDescent="0.3">
      <c r="C31" s="93">
        <v>864.37</v>
      </c>
      <c r="D31" s="86">
        <f t="shared" si="0"/>
        <v>2.442988715166251E-3</v>
      </c>
      <c r="E31" s="51"/>
    </row>
    <row r="32" spans="1:5" ht="15.75" customHeight="1" x14ac:dyDescent="0.3">
      <c r="C32" s="93">
        <v>859.92</v>
      </c>
      <c r="D32" s="86">
        <f t="shared" si="0"/>
        <v>-2.7178466907161088E-3</v>
      </c>
      <c r="E32" s="51"/>
    </row>
    <row r="33" spans="1:7" ht="15.75" customHeight="1" x14ac:dyDescent="0.3">
      <c r="C33" s="93">
        <v>863.73</v>
      </c>
      <c r="D33" s="86">
        <f t="shared" si="0"/>
        <v>1.70075620735398E-3</v>
      </c>
      <c r="E33" s="51"/>
    </row>
    <row r="34" spans="1:7" ht="15.75" customHeight="1" x14ac:dyDescent="0.3">
      <c r="C34" s="93">
        <v>859.95</v>
      </c>
      <c r="D34" s="86">
        <f t="shared" si="0"/>
        <v>-2.6830545419123078E-3</v>
      </c>
      <c r="E34" s="51"/>
    </row>
    <row r="35" spans="1:7" ht="15.75" customHeight="1" x14ac:dyDescent="0.3">
      <c r="C35" s="93">
        <v>858.73</v>
      </c>
      <c r="D35" s="86">
        <f t="shared" si="0"/>
        <v>-4.0979352599295107E-3</v>
      </c>
      <c r="E35" s="51"/>
    </row>
    <row r="36" spans="1:7" ht="15.75" customHeight="1" x14ac:dyDescent="0.3">
      <c r="C36" s="93">
        <v>858.08</v>
      </c>
      <c r="D36" s="86">
        <f t="shared" si="0"/>
        <v>-4.8517651506763387E-3</v>
      </c>
      <c r="E36" s="51"/>
    </row>
    <row r="37" spans="1:7" ht="15.75" customHeight="1" x14ac:dyDescent="0.3">
      <c r="C37" s="93">
        <v>865.92</v>
      </c>
      <c r="D37" s="86">
        <f t="shared" si="0"/>
        <v>4.2405830700240803E-3</v>
      </c>
      <c r="E37" s="51"/>
    </row>
    <row r="38" spans="1:7" ht="15.75" customHeight="1" x14ac:dyDescent="0.3">
      <c r="C38" s="93">
        <v>864.29</v>
      </c>
      <c r="D38" s="86">
        <f t="shared" si="0"/>
        <v>2.3502096516896677E-3</v>
      </c>
      <c r="E38" s="51"/>
    </row>
    <row r="39" spans="1:7" ht="15.75" customHeight="1" x14ac:dyDescent="0.3">
      <c r="C39" s="93">
        <v>858.28</v>
      </c>
      <c r="D39" s="86">
        <f t="shared" si="0"/>
        <v>-4.6198174919850777E-3</v>
      </c>
      <c r="E39" s="51"/>
    </row>
    <row r="40" spans="1:7" ht="15.75" customHeight="1" x14ac:dyDescent="0.3">
      <c r="C40" s="93">
        <v>866.91</v>
      </c>
      <c r="D40" s="86">
        <f t="shared" si="0"/>
        <v>5.3887239805462221E-3</v>
      </c>
      <c r="E40" s="51"/>
    </row>
    <row r="41" spans="1:7" ht="15.75" customHeight="1" x14ac:dyDescent="0.3">
      <c r="C41" s="93">
        <v>861.86</v>
      </c>
      <c r="D41" s="86">
        <f t="shared" si="0"/>
        <v>-4.679544014100509E-4</v>
      </c>
      <c r="E41" s="51"/>
    </row>
    <row r="42" spans="1:7" ht="15.75" customHeight="1" x14ac:dyDescent="0.3">
      <c r="C42" s="93">
        <v>862.02</v>
      </c>
      <c r="D42" s="86">
        <f t="shared" si="0"/>
        <v>-2.8239627445701611E-4</v>
      </c>
      <c r="E42" s="51"/>
    </row>
    <row r="43" spans="1:7" ht="16.5" customHeight="1" thickBot="1" x14ac:dyDescent="0.35">
      <c r="C43" s="94">
        <v>868.51</v>
      </c>
      <c r="D43" s="87">
        <f t="shared" si="0"/>
        <v>7.2443052500769656E-3</v>
      </c>
      <c r="E43" s="51"/>
    </row>
    <row r="44" spans="1:7" ht="16.5" customHeight="1" thickBot="1" x14ac:dyDescent="0.35">
      <c r="C44" s="52"/>
      <c r="D44" s="51"/>
      <c r="E44" s="53"/>
    </row>
    <row r="45" spans="1:7" ht="16.5" customHeight="1" x14ac:dyDescent="0.3">
      <c r="B45" s="80" t="s">
        <v>42</v>
      </c>
      <c r="C45" s="81">
        <f>SUM(C24:C44)</f>
        <v>17245.270000000004</v>
      </c>
      <c r="D45" s="76"/>
      <c r="E45" s="52"/>
    </row>
    <row r="46" spans="1:7" ht="17.25" customHeight="1" x14ac:dyDescent="0.3">
      <c r="B46" s="80" t="s">
        <v>43</v>
      </c>
      <c r="C46" s="82">
        <f>AVERAGE(C24:C44)</f>
        <v>862.26350000000025</v>
      </c>
      <c r="E46" s="54"/>
    </row>
    <row r="47" spans="1:7" ht="17.25" customHeight="1" x14ac:dyDescent="0.3">
      <c r="A47" s="58"/>
      <c r="B47" s="77"/>
      <c r="D47" s="56"/>
      <c r="E47" s="54"/>
    </row>
    <row r="48" spans="1:7" ht="33.75" customHeight="1" x14ac:dyDescent="0.3">
      <c r="B48" s="90" t="s">
        <v>43</v>
      </c>
      <c r="C48" s="83" t="s">
        <v>44</v>
      </c>
      <c r="D48" s="78"/>
      <c r="G48" s="56"/>
    </row>
    <row r="49" spans="1:6" ht="17.25" customHeight="1" x14ac:dyDescent="0.3">
      <c r="B49" s="474">
        <f>C46</f>
        <v>862.26350000000025</v>
      </c>
      <c r="C49" s="91">
        <f>-IF(C46&lt;=80,10%,IF(C46&lt;250,7.5%,5%))</f>
        <v>-0.05</v>
      </c>
      <c r="D49" s="79">
        <f>IF(C46&lt;=80,C46*0.9,IF(C46&lt;250,C46*0.925,C46*0.95))</f>
        <v>819.15032500000018</v>
      </c>
    </row>
    <row r="50" spans="1:6" ht="17.25" customHeight="1" x14ac:dyDescent="0.3">
      <c r="B50" s="475"/>
      <c r="C50" s="92">
        <f>IF(C46&lt;=80, 10%, IF(C46&lt;250, 7.5%, 5%))</f>
        <v>0.05</v>
      </c>
      <c r="D50" s="79">
        <f>IF(C46&lt;=80, C46*1.1, IF(C46&lt;250, C46*1.075, C46*1.05))</f>
        <v>905.37667500000032</v>
      </c>
    </row>
    <row r="51" spans="1:6" ht="16.5" customHeight="1" x14ac:dyDescent="0.3">
      <c r="A51" s="61"/>
      <c r="B51" s="62"/>
      <c r="C51" s="58"/>
      <c r="D51" s="63"/>
      <c r="E51" s="58"/>
      <c r="F51" s="64"/>
    </row>
    <row r="52" spans="1:6" ht="16.5" customHeight="1" x14ac:dyDescent="0.3">
      <c r="A52" s="58"/>
      <c r="B52" s="65" t="s">
        <v>26</v>
      </c>
      <c r="C52" s="65"/>
      <c r="D52" s="66" t="s">
        <v>27</v>
      </c>
      <c r="E52" s="67"/>
      <c r="F52" s="66" t="s">
        <v>28</v>
      </c>
    </row>
    <row r="53" spans="1:6" ht="34.5" customHeight="1" x14ac:dyDescent="0.3">
      <c r="A53" s="68" t="s">
        <v>29</v>
      </c>
      <c r="B53" s="69"/>
      <c r="C53" s="70"/>
      <c r="D53" s="69"/>
      <c r="E53" s="59"/>
      <c r="F53" s="71"/>
    </row>
    <row r="54" spans="1:6" ht="34.5" customHeight="1" x14ac:dyDescent="0.3">
      <c r="A54" s="68" t="s">
        <v>30</v>
      </c>
      <c r="B54" s="72"/>
      <c r="C54" s="73"/>
      <c r="D54" s="72"/>
      <c r="E54" s="59"/>
      <c r="F54" s="74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7" zoomScale="120" zoomScaleSheetLayoutView="120" workbookViewId="0">
      <selection activeCell="B16" sqref="B16"/>
    </sheetView>
  </sheetViews>
  <sheetFormatPr defaultRowHeight="13.8" x14ac:dyDescent="0.3"/>
  <cols>
    <col min="1" max="1" width="27.5546875" style="3" customWidth="1"/>
    <col min="2" max="2" width="20.44140625" style="3" customWidth="1"/>
    <col min="3" max="3" width="31.88671875" style="3" customWidth="1"/>
    <col min="4" max="4" width="25.88671875" style="3" customWidth="1"/>
    <col min="5" max="5" width="25.6640625" style="3" customWidth="1"/>
    <col min="6" max="6" width="23.109375" style="3" customWidth="1"/>
    <col min="7" max="7" width="28.44140625" style="3" customWidth="1"/>
    <col min="8" max="8" width="21.5546875" style="3" customWidth="1"/>
    <col min="9" max="9" width="9.109375" style="3" customWidth="1"/>
  </cols>
  <sheetData>
    <row r="1" spans="1:5" ht="18.75" customHeight="1" x14ac:dyDescent="0.35">
      <c r="A1" s="482" t="s">
        <v>0</v>
      </c>
      <c r="B1" s="482"/>
      <c r="C1" s="482"/>
      <c r="D1" s="482"/>
      <c r="E1" s="482"/>
    </row>
    <row r="2" spans="1:5" ht="16.5" customHeight="1" x14ac:dyDescent="0.3">
      <c r="A2" s="4" t="s">
        <v>1</v>
      </c>
      <c r="B2" s="5" t="s">
        <v>2</v>
      </c>
    </row>
    <row r="3" spans="1:5" ht="16.5" customHeight="1" x14ac:dyDescent="0.3">
      <c r="A3" s="6" t="s">
        <v>3</v>
      </c>
      <c r="B3" s="7" t="s">
        <v>138</v>
      </c>
      <c r="D3" s="8"/>
      <c r="E3" s="9"/>
    </row>
    <row r="4" spans="1:5" ht="16.5" customHeight="1" x14ac:dyDescent="0.3">
      <c r="A4" s="10" t="s">
        <v>4</v>
      </c>
      <c r="B4" s="8" t="s">
        <v>131</v>
      </c>
      <c r="C4" s="9"/>
      <c r="D4" s="9"/>
      <c r="E4" s="9"/>
    </row>
    <row r="5" spans="1:5" ht="16.5" customHeight="1" x14ac:dyDescent="0.3">
      <c r="A5" s="10" t="s">
        <v>6</v>
      </c>
      <c r="B5" s="11">
        <v>99.3</v>
      </c>
      <c r="C5" s="9"/>
      <c r="D5" s="9"/>
      <c r="E5" s="9"/>
    </row>
    <row r="6" spans="1:5" ht="16.5" customHeight="1" x14ac:dyDescent="0.3">
      <c r="A6" s="6" t="s">
        <v>8</v>
      </c>
      <c r="B6" s="11">
        <v>17.850000000000001</v>
      </c>
      <c r="C6" s="9"/>
      <c r="D6" s="9"/>
      <c r="E6" s="9"/>
    </row>
    <row r="7" spans="1:5" ht="16.5" customHeight="1" x14ac:dyDescent="0.3">
      <c r="A7" s="6" t="s">
        <v>10</v>
      </c>
      <c r="B7" s="12">
        <f>B6/50*10/25</f>
        <v>0.14280000000000001</v>
      </c>
      <c r="C7" s="9"/>
      <c r="D7" s="9"/>
      <c r="E7" s="9"/>
    </row>
    <row r="8" spans="1:5" ht="15.75" customHeight="1" x14ac:dyDescent="0.3">
      <c r="A8" s="9"/>
      <c r="B8" s="9"/>
      <c r="C8" s="9"/>
      <c r="D8" s="9"/>
      <c r="E8" s="9"/>
    </row>
    <row r="9" spans="1:5" ht="16.5" customHeight="1" x14ac:dyDescent="0.3">
      <c r="A9" s="13" t="s">
        <v>13</v>
      </c>
      <c r="B9" s="14" t="s">
        <v>14</v>
      </c>
      <c r="C9" s="13" t="s">
        <v>15</v>
      </c>
      <c r="D9" s="13" t="s">
        <v>16</v>
      </c>
      <c r="E9" s="15" t="s">
        <v>17</v>
      </c>
    </row>
    <row r="10" spans="1:5" ht="16.5" customHeight="1" x14ac:dyDescent="0.3">
      <c r="A10" s="16">
        <v>1</v>
      </c>
      <c r="B10" s="17">
        <v>86851998</v>
      </c>
      <c r="C10" s="17">
        <v>12096.8</v>
      </c>
      <c r="D10" s="18">
        <v>1.1000000000000001</v>
      </c>
      <c r="E10" s="19">
        <v>2.2000000000000002</v>
      </c>
    </row>
    <row r="11" spans="1:5" ht="16.5" customHeight="1" x14ac:dyDescent="0.3">
      <c r="A11" s="16">
        <v>2</v>
      </c>
      <c r="B11" s="17">
        <v>86812502</v>
      </c>
      <c r="C11" s="17">
        <v>11951.5</v>
      </c>
      <c r="D11" s="18">
        <v>1.2</v>
      </c>
      <c r="E11" s="18">
        <v>2.2000000000000002</v>
      </c>
    </row>
    <row r="12" spans="1:5" ht="16.5" customHeight="1" x14ac:dyDescent="0.3">
      <c r="A12" s="16">
        <v>3</v>
      </c>
      <c r="B12" s="17">
        <v>87008605</v>
      </c>
      <c r="C12" s="17">
        <v>12072.7</v>
      </c>
      <c r="D12" s="18">
        <v>1.1000000000000001</v>
      </c>
      <c r="E12" s="18">
        <v>2.2000000000000002</v>
      </c>
    </row>
    <row r="13" spans="1:5" ht="16.5" customHeight="1" x14ac:dyDescent="0.3">
      <c r="A13" s="16">
        <v>4</v>
      </c>
      <c r="B13" s="17">
        <v>86816494</v>
      </c>
      <c r="C13" s="17">
        <v>12120.7</v>
      </c>
      <c r="D13" s="18">
        <v>1.1000000000000001</v>
      </c>
      <c r="E13" s="18">
        <v>2.2000000000000002</v>
      </c>
    </row>
    <row r="14" spans="1:5" ht="16.5" customHeight="1" x14ac:dyDescent="0.3">
      <c r="A14" s="16">
        <v>5</v>
      </c>
      <c r="B14" s="17">
        <v>86978023</v>
      </c>
      <c r="C14" s="17">
        <v>12141.3</v>
      </c>
      <c r="D14" s="18">
        <v>1.1000000000000001</v>
      </c>
      <c r="E14" s="18">
        <v>2.2000000000000002</v>
      </c>
    </row>
    <row r="15" spans="1:5" ht="16.5" customHeight="1" x14ac:dyDescent="0.3">
      <c r="A15" s="16">
        <v>6</v>
      </c>
      <c r="B15" s="20">
        <v>86818615</v>
      </c>
      <c r="C15" s="20">
        <v>12007.8</v>
      </c>
      <c r="D15" s="21">
        <v>1.1000000000000001</v>
      </c>
      <c r="E15" s="21">
        <v>2.2000000000000002</v>
      </c>
    </row>
    <row r="16" spans="1:5" ht="16.5" customHeight="1" x14ac:dyDescent="0.3">
      <c r="A16" s="22" t="s">
        <v>18</v>
      </c>
      <c r="B16" s="23">
        <f>AVERAGE(B10:B15)</f>
        <v>86881039.5</v>
      </c>
      <c r="C16" s="24">
        <f>AVERAGE(C10:C15)</f>
        <v>12065.133333333333</v>
      </c>
      <c r="D16" s="25">
        <f>AVERAGE(D10:D15)</f>
        <v>1.1166666666666665</v>
      </c>
      <c r="E16" s="25">
        <f>AVERAGE(E10:E15)</f>
        <v>2.1999999999999997</v>
      </c>
    </row>
    <row r="17" spans="1:6" ht="16.5" customHeight="1" x14ac:dyDescent="0.3">
      <c r="A17" s="26" t="s">
        <v>19</v>
      </c>
      <c r="B17" s="27">
        <f>(STDEV(B10:B15)/B16)</f>
        <v>1.0202098512938882E-3</v>
      </c>
      <c r="C17" s="28"/>
      <c r="D17" s="28"/>
      <c r="E17" s="29"/>
      <c r="F17" s="2"/>
    </row>
    <row r="18" spans="1:6" s="2" customFormat="1" ht="16.5" customHeight="1" x14ac:dyDescent="0.3">
      <c r="A18" s="30" t="s">
        <v>20</v>
      </c>
      <c r="B18" s="31">
        <f>COUNT(B10:B15)</f>
        <v>6</v>
      </c>
      <c r="C18" s="32"/>
      <c r="D18" s="33"/>
      <c r="E18" s="34"/>
    </row>
    <row r="19" spans="1:6" s="2" customFormat="1" ht="15.75" customHeight="1" x14ac:dyDescent="0.3">
      <c r="A19" s="9"/>
      <c r="B19" s="9"/>
      <c r="C19" s="9"/>
      <c r="D19" s="9"/>
      <c r="E19" s="35"/>
    </row>
    <row r="20" spans="1:6" s="2" customFormat="1" ht="16.5" customHeight="1" x14ac:dyDescent="0.3">
      <c r="A20" s="10" t="s">
        <v>21</v>
      </c>
      <c r="B20" s="36" t="s">
        <v>22</v>
      </c>
      <c r="C20" s="37"/>
      <c r="D20" s="37"/>
      <c r="E20" s="38"/>
    </row>
    <row r="21" spans="1:6" ht="16.5" customHeight="1" x14ac:dyDescent="0.3">
      <c r="A21" s="10"/>
      <c r="B21" s="36" t="s">
        <v>23</v>
      </c>
      <c r="C21" s="37"/>
      <c r="D21" s="37"/>
      <c r="E21" s="38"/>
      <c r="F21" s="2"/>
    </row>
    <row r="22" spans="1:6" ht="16.5" customHeight="1" x14ac:dyDescent="0.3">
      <c r="A22" s="10"/>
      <c r="B22" s="39" t="s">
        <v>24</v>
      </c>
      <c r="C22" s="37"/>
      <c r="D22" s="37"/>
      <c r="E22" s="37"/>
    </row>
    <row r="23" spans="1:6" ht="15.75" customHeight="1" x14ac:dyDescent="0.3">
      <c r="A23" s="9"/>
      <c r="B23" s="9"/>
      <c r="C23" s="9"/>
      <c r="D23" s="9"/>
      <c r="E23" s="9"/>
    </row>
    <row r="24" spans="1:6" ht="16.5" customHeight="1" x14ac:dyDescent="0.3">
      <c r="A24" s="4" t="s">
        <v>1</v>
      </c>
      <c r="B24" s="472" t="s">
        <v>25</v>
      </c>
    </row>
    <row r="25" spans="1:6" ht="16.5" customHeight="1" x14ac:dyDescent="0.3">
      <c r="A25" s="10" t="s">
        <v>4</v>
      </c>
      <c r="B25" s="8" t="s">
        <v>131</v>
      </c>
      <c r="C25" s="9"/>
      <c r="D25" s="9"/>
      <c r="E25" s="9"/>
    </row>
    <row r="26" spans="1:6" ht="16.5" customHeight="1" x14ac:dyDescent="0.3">
      <c r="A26" s="10" t="s">
        <v>6</v>
      </c>
      <c r="B26" s="11">
        <v>99.3</v>
      </c>
      <c r="C26" s="9"/>
      <c r="D26" s="9"/>
      <c r="E26" s="9"/>
    </row>
    <row r="27" spans="1:6" ht="16.5" customHeight="1" x14ac:dyDescent="0.3">
      <c r="A27" s="6" t="s">
        <v>8</v>
      </c>
      <c r="B27" s="11">
        <v>12.88</v>
      </c>
      <c r="C27" s="9"/>
      <c r="D27" s="9"/>
      <c r="E27" s="9"/>
    </row>
    <row r="28" spans="1:6" ht="16.5" customHeight="1" x14ac:dyDescent="0.3">
      <c r="A28" s="6" t="s">
        <v>10</v>
      </c>
      <c r="B28" s="12">
        <f>B27/50</f>
        <v>0.2576</v>
      </c>
      <c r="C28" s="9"/>
      <c r="D28" s="9"/>
      <c r="E28" s="9"/>
    </row>
    <row r="29" spans="1:6" ht="15.75" customHeight="1" x14ac:dyDescent="0.3">
      <c r="A29" s="9"/>
      <c r="B29" s="9"/>
      <c r="C29" s="9"/>
      <c r="D29" s="9"/>
      <c r="E29" s="9"/>
    </row>
    <row r="30" spans="1:6" ht="16.5" customHeight="1" x14ac:dyDescent="0.3">
      <c r="A30" s="13" t="s">
        <v>13</v>
      </c>
      <c r="B30" s="14" t="s">
        <v>14</v>
      </c>
      <c r="C30" s="13" t="s">
        <v>15</v>
      </c>
      <c r="D30" s="13" t="s">
        <v>16</v>
      </c>
      <c r="E30" s="15" t="s">
        <v>17</v>
      </c>
    </row>
    <row r="31" spans="1:6" ht="16.5" customHeight="1" x14ac:dyDescent="0.3">
      <c r="A31" s="16">
        <v>1</v>
      </c>
      <c r="B31" s="17">
        <v>42927880</v>
      </c>
      <c r="C31" s="17">
        <v>17497.599999999999</v>
      </c>
      <c r="D31" s="18">
        <v>1.3</v>
      </c>
      <c r="E31" s="19">
        <v>2.6</v>
      </c>
    </row>
    <row r="32" spans="1:6" ht="16.5" customHeight="1" x14ac:dyDescent="0.3">
      <c r="A32" s="16">
        <v>2</v>
      </c>
      <c r="B32" s="17">
        <v>42492230</v>
      </c>
      <c r="C32" s="17">
        <v>17645.5</v>
      </c>
      <c r="D32" s="18">
        <v>1.2</v>
      </c>
      <c r="E32" s="18">
        <v>2.6</v>
      </c>
    </row>
    <row r="33" spans="1:7" ht="16.5" customHeight="1" x14ac:dyDescent="0.3">
      <c r="A33" s="16">
        <v>3</v>
      </c>
      <c r="B33" s="17">
        <v>42541843</v>
      </c>
      <c r="C33" s="17">
        <v>17721.2</v>
      </c>
      <c r="D33" s="18">
        <v>1.2</v>
      </c>
      <c r="E33" s="18">
        <v>2.6</v>
      </c>
    </row>
    <row r="34" spans="1:7" ht="16.5" customHeight="1" x14ac:dyDescent="0.3">
      <c r="A34" s="16">
        <v>4</v>
      </c>
      <c r="B34" s="17">
        <v>42463639</v>
      </c>
      <c r="C34" s="17">
        <v>17633.099999999999</v>
      </c>
      <c r="D34" s="18">
        <v>1.2</v>
      </c>
      <c r="E34" s="18">
        <v>2.6</v>
      </c>
    </row>
    <row r="35" spans="1:7" ht="16.5" customHeight="1" x14ac:dyDescent="0.3">
      <c r="A35" s="16">
        <v>5</v>
      </c>
      <c r="B35" s="17">
        <v>43052804</v>
      </c>
      <c r="C35" s="17">
        <v>17612.5</v>
      </c>
      <c r="D35" s="18">
        <v>1.2</v>
      </c>
      <c r="E35" s="18">
        <v>2.6</v>
      </c>
    </row>
    <row r="36" spans="1:7" ht="16.5" customHeight="1" x14ac:dyDescent="0.3">
      <c r="A36" s="16">
        <v>6</v>
      </c>
      <c r="B36" s="20">
        <v>42590464</v>
      </c>
      <c r="C36" s="20">
        <v>17621.400000000001</v>
      </c>
      <c r="D36" s="21">
        <v>1.2</v>
      </c>
      <c r="E36" s="21">
        <v>2.6</v>
      </c>
    </row>
    <row r="37" spans="1:7" ht="16.5" customHeight="1" x14ac:dyDescent="0.3">
      <c r="A37" s="22" t="s">
        <v>18</v>
      </c>
      <c r="B37" s="23">
        <f>AVERAGE(B31:B36)</f>
        <v>42678143.333333336</v>
      </c>
      <c r="C37" s="24">
        <f>AVERAGE(C31:C36)</f>
        <v>17621.883333333331</v>
      </c>
      <c r="D37" s="25">
        <f>AVERAGE(D31:D36)</f>
        <v>1.2166666666666668</v>
      </c>
      <c r="E37" s="25">
        <f>AVERAGE(E31:E36)</f>
        <v>2.6</v>
      </c>
    </row>
    <row r="38" spans="1:7" ht="16.5" customHeight="1" x14ac:dyDescent="0.3">
      <c r="A38" s="26" t="s">
        <v>19</v>
      </c>
      <c r="B38" s="27">
        <f>(STDEV(B31:B36)/B37)</f>
        <v>5.8303706820988233E-3</v>
      </c>
      <c r="C38" s="28"/>
      <c r="D38" s="28"/>
      <c r="E38" s="29"/>
      <c r="F38" s="2"/>
    </row>
    <row r="39" spans="1:7" s="2" customFormat="1" ht="16.5" customHeight="1" x14ac:dyDescent="0.3">
      <c r="A39" s="30" t="s">
        <v>20</v>
      </c>
      <c r="B39" s="31">
        <f>COUNT(B31:B36)</f>
        <v>6</v>
      </c>
      <c r="C39" s="32"/>
      <c r="D39" s="33"/>
      <c r="E39" s="34"/>
    </row>
    <row r="40" spans="1:7" s="2" customFormat="1" ht="15.75" customHeight="1" x14ac:dyDescent="0.3">
      <c r="A40" s="9"/>
      <c r="B40" s="9"/>
      <c r="C40" s="9"/>
      <c r="D40" s="9"/>
      <c r="E40" s="35"/>
    </row>
    <row r="41" spans="1:7" s="2" customFormat="1" ht="16.5" customHeight="1" x14ac:dyDescent="0.3">
      <c r="A41" s="10" t="s">
        <v>21</v>
      </c>
      <c r="B41" s="36" t="s">
        <v>22</v>
      </c>
      <c r="C41" s="37"/>
      <c r="D41" s="37"/>
      <c r="E41" s="38"/>
    </row>
    <row r="42" spans="1:7" ht="16.5" customHeight="1" x14ac:dyDescent="0.3">
      <c r="A42" s="10"/>
      <c r="B42" s="36" t="s">
        <v>23</v>
      </c>
      <c r="C42" s="37"/>
      <c r="D42" s="37"/>
      <c r="E42" s="38"/>
      <c r="F42" s="2"/>
    </row>
    <row r="43" spans="1:7" ht="16.5" customHeight="1" x14ac:dyDescent="0.3">
      <c r="A43" s="10"/>
      <c r="B43" s="39" t="s">
        <v>24</v>
      </c>
      <c r="C43" s="37"/>
      <c r="D43" s="38"/>
      <c r="E43" s="37"/>
    </row>
    <row r="44" spans="1:7" ht="14.25" customHeight="1" thickBot="1" x14ac:dyDescent="0.35">
      <c r="A44" s="40"/>
      <c r="B44" s="41"/>
      <c r="D44" s="42"/>
      <c r="F44" s="43"/>
      <c r="G44" s="43"/>
    </row>
    <row r="45" spans="1:7" ht="15" customHeight="1" x14ac:dyDescent="0.3">
      <c r="B45" s="483" t="s">
        <v>26</v>
      </c>
      <c r="C45" s="483"/>
      <c r="D45" s="44" t="s">
        <v>27</v>
      </c>
      <c r="E45" s="44" t="s">
        <v>28</v>
      </c>
      <c r="F45" s="43"/>
    </row>
    <row r="46" spans="1:7" ht="15" customHeight="1" x14ac:dyDescent="0.3">
      <c r="A46" s="45" t="s">
        <v>29</v>
      </c>
      <c r="B46" s="46"/>
      <c r="C46" s="46"/>
      <c r="D46" s="46"/>
      <c r="E46" s="47"/>
      <c r="F46" s="2"/>
    </row>
    <row r="47" spans="1:7" ht="15" customHeight="1" x14ac:dyDescent="0.3">
      <c r="A47" s="45" t="s">
        <v>30</v>
      </c>
      <c r="B47" s="48"/>
      <c r="C47" s="48"/>
      <c r="D47" s="48"/>
      <c r="E47" s="49"/>
      <c r="F47" s="2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28" zoomScale="110" zoomScaleSheetLayoutView="110" workbookViewId="0">
      <selection activeCell="C7" sqref="C7"/>
    </sheetView>
  </sheetViews>
  <sheetFormatPr defaultColWidth="9.109375" defaultRowHeight="13.8" x14ac:dyDescent="0.3"/>
  <cols>
    <col min="1" max="1" width="27.5546875" style="470" customWidth="1"/>
    <col min="2" max="2" width="20.44140625" style="470" customWidth="1"/>
    <col min="3" max="3" width="31.88671875" style="470" customWidth="1"/>
    <col min="4" max="4" width="25.88671875" style="470" customWidth="1"/>
    <col min="5" max="5" width="25.6640625" style="470" customWidth="1"/>
    <col min="6" max="6" width="23.109375" style="470" customWidth="1"/>
    <col min="7" max="7" width="28.44140625" style="470" customWidth="1"/>
    <col min="8" max="8" width="21.5546875" style="470" customWidth="1"/>
    <col min="9" max="9" width="9.109375" style="470" customWidth="1"/>
    <col min="10" max="16384" width="9.109375" style="43"/>
  </cols>
  <sheetData>
    <row r="1" spans="1:5" ht="18.75" customHeight="1" x14ac:dyDescent="0.35">
      <c r="A1" s="482" t="s">
        <v>0</v>
      </c>
      <c r="B1" s="482"/>
      <c r="C1" s="482"/>
      <c r="D1" s="482"/>
      <c r="E1" s="482"/>
    </row>
    <row r="2" spans="1:5" ht="16.5" customHeight="1" x14ac:dyDescent="0.3">
      <c r="A2" s="88" t="s">
        <v>1</v>
      </c>
      <c r="B2" s="57" t="s">
        <v>2</v>
      </c>
    </row>
    <row r="3" spans="1:5" ht="16.5" customHeight="1" x14ac:dyDescent="0.3">
      <c r="A3" s="7" t="s">
        <v>3</v>
      </c>
      <c r="B3" s="7" t="s">
        <v>5</v>
      </c>
      <c r="D3" s="8"/>
      <c r="E3" s="70"/>
    </row>
    <row r="4" spans="1:5" ht="16.5" customHeight="1" x14ac:dyDescent="0.3">
      <c r="A4" s="73" t="s">
        <v>4</v>
      </c>
      <c r="B4" s="8" t="s">
        <v>135</v>
      </c>
      <c r="C4" s="70"/>
      <c r="D4" s="70"/>
      <c r="E4" s="70"/>
    </row>
    <row r="5" spans="1:5" ht="16.5" customHeight="1" x14ac:dyDescent="0.3">
      <c r="A5" s="73" t="s">
        <v>6</v>
      </c>
      <c r="B5" s="11">
        <v>98.8</v>
      </c>
      <c r="C5" s="70"/>
      <c r="D5" s="70"/>
      <c r="E5" s="70"/>
    </row>
    <row r="6" spans="1:5" ht="16.5" customHeight="1" x14ac:dyDescent="0.3">
      <c r="A6" s="7" t="s">
        <v>8</v>
      </c>
      <c r="B6" s="11">
        <v>13.88</v>
      </c>
      <c r="C6" s="70"/>
      <c r="D6" s="70"/>
      <c r="E6" s="70"/>
    </row>
    <row r="7" spans="1:5" ht="16.5" customHeight="1" x14ac:dyDescent="0.3">
      <c r="A7" s="7" t="s">
        <v>10</v>
      </c>
      <c r="B7" s="12">
        <f>B6/50*10/25</f>
        <v>0.11104000000000001</v>
      </c>
      <c r="C7" s="70"/>
      <c r="D7" s="70"/>
      <c r="E7" s="70"/>
    </row>
    <row r="8" spans="1:5" ht="15.75" customHeight="1" x14ac:dyDescent="0.3">
      <c r="A8" s="70"/>
      <c r="B8" s="70"/>
      <c r="C8" s="70"/>
      <c r="D8" s="70"/>
      <c r="E8" s="70"/>
    </row>
    <row r="9" spans="1:5" ht="16.5" customHeight="1" x14ac:dyDescent="0.3">
      <c r="A9" s="15" t="s">
        <v>13</v>
      </c>
      <c r="B9" s="14" t="s">
        <v>14</v>
      </c>
      <c r="C9" s="15" t="s">
        <v>15</v>
      </c>
      <c r="D9" s="15" t="s">
        <v>16</v>
      </c>
      <c r="E9" s="15" t="s">
        <v>17</v>
      </c>
    </row>
    <row r="10" spans="1:5" ht="16.5" customHeight="1" x14ac:dyDescent="0.3">
      <c r="A10" s="16">
        <v>1</v>
      </c>
      <c r="B10" s="17">
        <v>25745894</v>
      </c>
      <c r="C10" s="17">
        <v>119507.5</v>
      </c>
      <c r="D10" s="18">
        <v>1.1000000000000001</v>
      </c>
      <c r="E10" s="19">
        <v>6.7</v>
      </c>
    </row>
    <row r="11" spans="1:5" ht="16.5" customHeight="1" x14ac:dyDescent="0.3">
      <c r="A11" s="16">
        <v>2</v>
      </c>
      <c r="B11" s="17">
        <v>25698532</v>
      </c>
      <c r="C11" s="17">
        <v>119634.1</v>
      </c>
      <c r="D11" s="18">
        <v>1.1000000000000001</v>
      </c>
      <c r="E11" s="18">
        <v>6.7</v>
      </c>
    </row>
    <row r="12" spans="1:5" ht="16.5" customHeight="1" x14ac:dyDescent="0.3">
      <c r="A12" s="16">
        <v>3</v>
      </c>
      <c r="B12" s="17">
        <v>25806823</v>
      </c>
      <c r="C12" s="17">
        <v>120380.1</v>
      </c>
      <c r="D12" s="18">
        <v>1.1000000000000001</v>
      </c>
      <c r="E12" s="18">
        <v>6.7</v>
      </c>
    </row>
    <row r="13" spans="1:5" ht="16.5" customHeight="1" x14ac:dyDescent="0.3">
      <c r="A13" s="16">
        <v>4</v>
      </c>
      <c r="B13" s="17">
        <v>25741654</v>
      </c>
      <c r="C13" s="17">
        <v>120678.7</v>
      </c>
      <c r="D13" s="18">
        <v>1.1000000000000001</v>
      </c>
      <c r="E13" s="18">
        <v>6.7</v>
      </c>
    </row>
    <row r="14" spans="1:5" ht="16.5" customHeight="1" x14ac:dyDescent="0.3">
      <c r="A14" s="16">
        <v>5</v>
      </c>
      <c r="B14" s="17">
        <v>25793136</v>
      </c>
      <c r="C14" s="473">
        <v>120418</v>
      </c>
      <c r="D14" s="18">
        <v>1.1000000000000001</v>
      </c>
      <c r="E14" s="18">
        <v>6.7</v>
      </c>
    </row>
    <row r="15" spans="1:5" ht="16.5" customHeight="1" x14ac:dyDescent="0.3">
      <c r="A15" s="16">
        <v>6</v>
      </c>
      <c r="B15" s="20">
        <v>25748008</v>
      </c>
      <c r="C15" s="20">
        <v>120762.6</v>
      </c>
      <c r="D15" s="21">
        <v>1.1000000000000001</v>
      </c>
      <c r="E15" s="21">
        <v>6.7</v>
      </c>
    </row>
    <row r="16" spans="1:5" ht="16.5" customHeight="1" x14ac:dyDescent="0.3">
      <c r="A16" s="22" t="s">
        <v>18</v>
      </c>
      <c r="B16" s="23">
        <f>AVERAGE(B10:B15)</f>
        <v>25755674.5</v>
      </c>
      <c r="C16" s="24">
        <f>AVERAGE(C10:C15)</f>
        <v>120230.16666666667</v>
      </c>
      <c r="D16" s="25">
        <f>AVERAGE(D10:D15)</f>
        <v>1.0999999999999999</v>
      </c>
      <c r="E16" s="25">
        <f>AVERAGE(E10:E15)</f>
        <v>6.7</v>
      </c>
    </row>
    <row r="17" spans="1:5" ht="16.5" customHeight="1" x14ac:dyDescent="0.3">
      <c r="A17" s="26" t="s">
        <v>19</v>
      </c>
      <c r="B17" s="27">
        <f>(STDEV(B10:B15)/B16)</f>
        <v>1.5172932214038131E-3</v>
      </c>
      <c r="C17" s="28"/>
      <c r="D17" s="28"/>
      <c r="E17" s="29"/>
    </row>
    <row r="18" spans="1:5" s="470" customFormat="1" ht="16.5" customHeight="1" x14ac:dyDescent="0.3">
      <c r="A18" s="30" t="s">
        <v>20</v>
      </c>
      <c r="B18" s="31">
        <f>COUNT(B10:B15)</f>
        <v>6</v>
      </c>
      <c r="C18" s="32"/>
      <c r="D18" s="71"/>
      <c r="E18" s="34"/>
    </row>
    <row r="19" spans="1:5" s="470" customFormat="1" ht="15.75" customHeight="1" x14ac:dyDescent="0.3">
      <c r="A19" s="70"/>
      <c r="B19" s="70"/>
      <c r="C19" s="70"/>
      <c r="D19" s="70"/>
      <c r="E19" s="70"/>
    </row>
    <row r="20" spans="1:5" s="470" customFormat="1" ht="16.5" customHeight="1" x14ac:dyDescent="0.3">
      <c r="A20" s="73" t="s">
        <v>21</v>
      </c>
      <c r="B20" s="39" t="s">
        <v>22</v>
      </c>
      <c r="C20" s="38"/>
      <c r="D20" s="38"/>
      <c r="E20" s="38"/>
    </row>
    <row r="21" spans="1:5" ht="16.5" customHeight="1" x14ac:dyDescent="0.3">
      <c r="A21" s="73"/>
      <c r="B21" s="39" t="s">
        <v>139</v>
      </c>
      <c r="C21" s="38"/>
      <c r="D21" s="38"/>
      <c r="E21" s="38"/>
    </row>
    <row r="22" spans="1:5" ht="16.5" customHeight="1" x14ac:dyDescent="0.3">
      <c r="A22" s="73"/>
      <c r="B22" s="39" t="s">
        <v>24</v>
      </c>
      <c r="C22" s="38"/>
      <c r="D22" s="38"/>
      <c r="E22" s="38"/>
    </row>
    <row r="23" spans="1:5" ht="15.75" customHeight="1" x14ac:dyDescent="0.3">
      <c r="A23" s="70"/>
      <c r="B23" s="70"/>
      <c r="C23" s="70"/>
      <c r="D23" s="70"/>
      <c r="E23" s="70"/>
    </row>
    <row r="24" spans="1:5" ht="16.5" customHeight="1" x14ac:dyDescent="0.3">
      <c r="A24" s="88" t="s">
        <v>1</v>
      </c>
      <c r="B24" s="57" t="s">
        <v>25</v>
      </c>
    </row>
    <row r="25" spans="1:5" ht="16.5" customHeight="1" x14ac:dyDescent="0.3">
      <c r="A25" s="73" t="s">
        <v>4</v>
      </c>
      <c r="B25" s="7" t="s">
        <v>133</v>
      </c>
      <c r="C25" s="70"/>
      <c r="D25" s="70"/>
      <c r="E25" s="70"/>
    </row>
    <row r="26" spans="1:5" ht="16.5" customHeight="1" x14ac:dyDescent="0.3">
      <c r="A26" s="73" t="s">
        <v>6</v>
      </c>
      <c r="B26" s="11">
        <v>98.8</v>
      </c>
      <c r="C26" s="70"/>
      <c r="D26" s="70"/>
      <c r="E26" s="70"/>
    </row>
    <row r="27" spans="1:5" ht="16.5" customHeight="1" x14ac:dyDescent="0.3">
      <c r="A27" s="7" t="s">
        <v>8</v>
      </c>
      <c r="B27" s="11">
        <v>13.02</v>
      </c>
      <c r="C27" s="70"/>
      <c r="D27" s="70"/>
      <c r="E27" s="70"/>
    </row>
    <row r="28" spans="1:5" ht="16.5" customHeight="1" x14ac:dyDescent="0.3">
      <c r="A28" s="7" t="s">
        <v>10</v>
      </c>
      <c r="B28" s="12">
        <f>B27/50</f>
        <v>0.26039999999999996</v>
      </c>
      <c r="C28" s="70"/>
      <c r="D28" s="70"/>
      <c r="E28" s="70"/>
    </row>
    <row r="29" spans="1:5" ht="15.75" customHeight="1" x14ac:dyDescent="0.3">
      <c r="A29" s="70"/>
      <c r="B29" s="70"/>
      <c r="C29" s="70"/>
      <c r="D29" s="70"/>
      <c r="E29" s="70"/>
    </row>
    <row r="30" spans="1:5" ht="16.5" customHeight="1" x14ac:dyDescent="0.3">
      <c r="A30" s="15" t="s">
        <v>13</v>
      </c>
      <c r="B30" s="14" t="s">
        <v>14</v>
      </c>
      <c r="C30" s="15" t="s">
        <v>15</v>
      </c>
      <c r="D30" s="15" t="s">
        <v>16</v>
      </c>
      <c r="E30" s="15" t="s">
        <v>17</v>
      </c>
    </row>
    <row r="31" spans="1:5" ht="16.5" customHeight="1" x14ac:dyDescent="0.3">
      <c r="A31" s="16">
        <v>1</v>
      </c>
      <c r="B31" s="17">
        <v>60515392</v>
      </c>
      <c r="C31" s="17">
        <v>122355</v>
      </c>
      <c r="D31" s="18">
        <v>1.1000000000000001</v>
      </c>
      <c r="E31" s="19">
        <v>6.8</v>
      </c>
    </row>
    <row r="32" spans="1:5" ht="16.5" customHeight="1" x14ac:dyDescent="0.3">
      <c r="A32" s="16">
        <v>2</v>
      </c>
      <c r="B32" s="17">
        <v>60718249</v>
      </c>
      <c r="C32" s="17">
        <v>121063.6</v>
      </c>
      <c r="D32" s="18">
        <v>1.1000000000000001</v>
      </c>
      <c r="E32" s="18">
        <v>6.8</v>
      </c>
    </row>
    <row r="33" spans="1:7" ht="16.5" customHeight="1" x14ac:dyDescent="0.3">
      <c r="A33" s="16">
        <v>3</v>
      </c>
      <c r="B33" s="17">
        <v>60659300</v>
      </c>
      <c r="C33" s="17">
        <v>122629.6</v>
      </c>
      <c r="D33" s="18">
        <v>1.1000000000000001</v>
      </c>
      <c r="E33" s="18">
        <v>6.8</v>
      </c>
    </row>
    <row r="34" spans="1:7" ht="16.5" customHeight="1" x14ac:dyDescent="0.3">
      <c r="A34" s="16">
        <v>4</v>
      </c>
      <c r="B34" s="17">
        <v>60456985</v>
      </c>
      <c r="C34" s="17">
        <v>121718.5</v>
      </c>
      <c r="D34" s="18">
        <v>1</v>
      </c>
      <c r="E34" s="18">
        <v>6.8</v>
      </c>
    </row>
    <row r="35" spans="1:7" ht="16.5" customHeight="1" x14ac:dyDescent="0.3">
      <c r="A35" s="16">
        <v>5</v>
      </c>
      <c r="B35" s="17">
        <v>60494185</v>
      </c>
      <c r="C35" s="17">
        <v>121932.9</v>
      </c>
      <c r="D35" s="18">
        <v>1.1000000000000001</v>
      </c>
      <c r="E35" s="18">
        <v>6.8</v>
      </c>
    </row>
    <row r="36" spans="1:7" ht="16.5" customHeight="1" x14ac:dyDescent="0.3">
      <c r="A36" s="16">
        <v>6</v>
      </c>
      <c r="B36" s="20">
        <v>60473296</v>
      </c>
      <c r="C36" s="20">
        <v>120772.3</v>
      </c>
      <c r="D36" s="21">
        <v>1.1000000000000001</v>
      </c>
      <c r="E36" s="21">
        <v>6.8</v>
      </c>
    </row>
    <row r="37" spans="1:7" ht="16.5" customHeight="1" x14ac:dyDescent="0.3">
      <c r="A37" s="22" t="s">
        <v>18</v>
      </c>
      <c r="B37" s="23">
        <f>AVERAGE(B31:B36)</f>
        <v>60552901.166666664</v>
      </c>
      <c r="C37" s="24">
        <f>AVERAGE(C31:C36)</f>
        <v>121745.31666666667</v>
      </c>
      <c r="D37" s="25">
        <f>AVERAGE(D31:D36)</f>
        <v>1.0833333333333333</v>
      </c>
      <c r="E37" s="25">
        <f>AVERAGE(E31:E36)</f>
        <v>6.8</v>
      </c>
    </row>
    <row r="38" spans="1:7" ht="16.5" customHeight="1" x14ac:dyDescent="0.3">
      <c r="A38" s="26" t="s">
        <v>19</v>
      </c>
      <c r="B38" s="27">
        <f>(STDEV(B31:B36)/B37)</f>
        <v>1.794723230672961E-3</v>
      </c>
      <c r="C38" s="28"/>
      <c r="D38" s="28"/>
      <c r="E38" s="29"/>
    </row>
    <row r="39" spans="1:7" s="470" customFormat="1" ht="16.5" customHeight="1" x14ac:dyDescent="0.3">
      <c r="A39" s="30" t="s">
        <v>20</v>
      </c>
      <c r="B39" s="31">
        <f>COUNT(B31:B36)</f>
        <v>6</v>
      </c>
      <c r="C39" s="32"/>
      <c r="D39" s="71"/>
      <c r="E39" s="34"/>
    </row>
    <row r="40" spans="1:7" s="470" customFormat="1" ht="15.75" customHeight="1" x14ac:dyDescent="0.3">
      <c r="A40" s="70"/>
      <c r="B40" s="70"/>
      <c r="C40" s="70"/>
      <c r="D40" s="70"/>
      <c r="E40" s="70"/>
    </row>
    <row r="41" spans="1:7" s="470" customFormat="1" ht="16.5" customHeight="1" x14ac:dyDescent="0.3">
      <c r="A41" s="73" t="s">
        <v>21</v>
      </c>
      <c r="B41" s="39" t="s">
        <v>22</v>
      </c>
      <c r="C41" s="38"/>
      <c r="D41" s="38"/>
      <c r="E41" s="38"/>
    </row>
    <row r="42" spans="1:7" ht="16.5" customHeight="1" x14ac:dyDescent="0.3">
      <c r="A42" s="73"/>
      <c r="B42" s="39" t="s">
        <v>23</v>
      </c>
      <c r="C42" s="38"/>
      <c r="D42" s="38"/>
      <c r="E42" s="38"/>
    </row>
    <row r="43" spans="1:7" ht="16.5" customHeight="1" x14ac:dyDescent="0.3">
      <c r="A43" s="73"/>
      <c r="B43" s="39" t="s">
        <v>24</v>
      </c>
      <c r="C43" s="38"/>
      <c r="D43" s="38"/>
      <c r="E43" s="38"/>
    </row>
    <row r="44" spans="1:7" ht="14.25" customHeight="1" thickBot="1" x14ac:dyDescent="0.35">
      <c r="A44" s="40"/>
      <c r="B44" s="469"/>
      <c r="D44" s="42"/>
      <c r="G44" s="43"/>
    </row>
    <row r="45" spans="1:7" ht="15" customHeight="1" x14ac:dyDescent="0.3">
      <c r="B45" s="483" t="s">
        <v>26</v>
      </c>
      <c r="C45" s="483"/>
      <c r="D45" s="44" t="s">
        <v>27</v>
      </c>
      <c r="E45" s="44" t="s">
        <v>28</v>
      </c>
    </row>
    <row r="46" spans="1:7" ht="15" customHeight="1" x14ac:dyDescent="0.3">
      <c r="A46" s="45" t="s">
        <v>29</v>
      </c>
      <c r="B46" s="47"/>
      <c r="C46" s="47"/>
      <c r="D46" s="47"/>
      <c r="E46" s="47"/>
    </row>
    <row r="47" spans="1:7" ht="15" customHeight="1" x14ac:dyDescent="0.3">
      <c r="A47" s="45" t="s">
        <v>30</v>
      </c>
      <c r="B47" s="48"/>
      <c r="C47" s="48"/>
      <c r="D47" s="48"/>
      <c r="E47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85" zoomScale="50" zoomScaleNormal="60" zoomScaleSheetLayoutView="50" workbookViewId="0">
      <selection activeCell="H107" sqref="H107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5.2187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14" t="s">
        <v>45</v>
      </c>
      <c r="B1" s="514"/>
      <c r="C1" s="514"/>
      <c r="D1" s="514"/>
      <c r="E1" s="514"/>
      <c r="F1" s="514"/>
      <c r="G1" s="514"/>
      <c r="H1" s="514"/>
      <c r="I1" s="514"/>
    </row>
    <row r="2" spans="1:9" ht="18.75" customHeight="1" x14ac:dyDescent="0.3">
      <c r="A2" s="514"/>
      <c r="B2" s="514"/>
      <c r="C2" s="514"/>
      <c r="D2" s="514"/>
      <c r="E2" s="514"/>
      <c r="F2" s="514"/>
      <c r="G2" s="514"/>
      <c r="H2" s="514"/>
      <c r="I2" s="514"/>
    </row>
    <row r="3" spans="1:9" ht="18.75" customHeight="1" x14ac:dyDescent="0.3">
      <c r="A3" s="514"/>
      <c r="B3" s="514"/>
      <c r="C3" s="514"/>
      <c r="D3" s="514"/>
      <c r="E3" s="514"/>
      <c r="F3" s="514"/>
      <c r="G3" s="514"/>
      <c r="H3" s="514"/>
      <c r="I3" s="514"/>
    </row>
    <row r="4" spans="1:9" ht="18.75" customHeight="1" x14ac:dyDescent="0.3">
      <c r="A4" s="514"/>
      <c r="B4" s="514"/>
      <c r="C4" s="514"/>
      <c r="D4" s="514"/>
      <c r="E4" s="514"/>
      <c r="F4" s="514"/>
      <c r="G4" s="514"/>
      <c r="H4" s="514"/>
      <c r="I4" s="514"/>
    </row>
    <row r="5" spans="1:9" ht="18.75" customHeight="1" x14ac:dyDescent="0.3">
      <c r="A5" s="514"/>
      <c r="B5" s="514"/>
      <c r="C5" s="514"/>
      <c r="D5" s="514"/>
      <c r="E5" s="514"/>
      <c r="F5" s="514"/>
      <c r="G5" s="514"/>
      <c r="H5" s="514"/>
      <c r="I5" s="514"/>
    </row>
    <row r="6" spans="1:9" ht="18.75" customHeight="1" x14ac:dyDescent="0.3">
      <c r="A6" s="514"/>
      <c r="B6" s="514"/>
      <c r="C6" s="514"/>
      <c r="D6" s="514"/>
      <c r="E6" s="514"/>
      <c r="F6" s="514"/>
      <c r="G6" s="514"/>
      <c r="H6" s="514"/>
      <c r="I6" s="514"/>
    </row>
    <row r="7" spans="1:9" ht="18.75" customHeight="1" x14ac:dyDescent="0.3">
      <c r="A7" s="514"/>
      <c r="B7" s="514"/>
      <c r="C7" s="514"/>
      <c r="D7" s="514"/>
      <c r="E7" s="514"/>
      <c r="F7" s="514"/>
      <c r="G7" s="514"/>
      <c r="H7" s="514"/>
      <c r="I7" s="514"/>
    </row>
    <row r="8" spans="1:9" x14ac:dyDescent="0.3">
      <c r="A8" s="515" t="s">
        <v>46</v>
      </c>
      <c r="B8" s="515"/>
      <c r="C8" s="515"/>
      <c r="D8" s="515"/>
      <c r="E8" s="515"/>
      <c r="F8" s="515"/>
      <c r="G8" s="515"/>
      <c r="H8" s="515"/>
      <c r="I8" s="515"/>
    </row>
    <row r="9" spans="1:9" x14ac:dyDescent="0.3">
      <c r="A9" s="515"/>
      <c r="B9" s="515"/>
      <c r="C9" s="515"/>
      <c r="D9" s="515"/>
      <c r="E9" s="515"/>
      <c r="F9" s="515"/>
      <c r="G9" s="515"/>
      <c r="H9" s="515"/>
      <c r="I9" s="515"/>
    </row>
    <row r="10" spans="1:9" x14ac:dyDescent="0.3">
      <c r="A10" s="515"/>
      <c r="B10" s="515"/>
      <c r="C10" s="515"/>
      <c r="D10" s="515"/>
      <c r="E10" s="515"/>
      <c r="F10" s="515"/>
      <c r="G10" s="515"/>
      <c r="H10" s="515"/>
      <c r="I10" s="515"/>
    </row>
    <row r="11" spans="1:9" x14ac:dyDescent="0.3">
      <c r="A11" s="515"/>
      <c r="B11" s="515"/>
      <c r="C11" s="515"/>
      <c r="D11" s="515"/>
      <c r="E11" s="515"/>
      <c r="F11" s="515"/>
      <c r="G11" s="515"/>
      <c r="H11" s="515"/>
      <c r="I11" s="515"/>
    </row>
    <row r="12" spans="1:9" x14ac:dyDescent="0.3">
      <c r="A12" s="515"/>
      <c r="B12" s="515"/>
      <c r="C12" s="515"/>
      <c r="D12" s="515"/>
      <c r="E12" s="515"/>
      <c r="F12" s="515"/>
      <c r="G12" s="515"/>
      <c r="H12" s="515"/>
      <c r="I12" s="515"/>
    </row>
    <row r="13" spans="1:9" x14ac:dyDescent="0.3">
      <c r="A13" s="515"/>
      <c r="B13" s="515"/>
      <c r="C13" s="515"/>
      <c r="D13" s="515"/>
      <c r="E13" s="515"/>
      <c r="F13" s="515"/>
      <c r="G13" s="515"/>
      <c r="H13" s="515"/>
      <c r="I13" s="515"/>
    </row>
    <row r="14" spans="1:9" x14ac:dyDescent="0.3">
      <c r="A14" s="515"/>
      <c r="B14" s="515"/>
      <c r="C14" s="515"/>
      <c r="D14" s="515"/>
      <c r="E14" s="515"/>
      <c r="F14" s="515"/>
      <c r="G14" s="515"/>
      <c r="H14" s="515"/>
      <c r="I14" s="515"/>
    </row>
    <row r="15" spans="1:9" ht="19.5" customHeight="1" x14ac:dyDescent="0.35">
      <c r="A15" s="96"/>
    </row>
    <row r="16" spans="1:9" ht="19.5" customHeight="1" x14ac:dyDescent="0.35">
      <c r="A16" s="487" t="s">
        <v>31</v>
      </c>
      <c r="B16" s="488"/>
      <c r="C16" s="488"/>
      <c r="D16" s="488"/>
      <c r="E16" s="488"/>
      <c r="F16" s="488"/>
      <c r="G16" s="488"/>
      <c r="H16" s="489"/>
    </row>
    <row r="17" spans="1:14" ht="20.25" customHeight="1" x14ac:dyDescent="0.3">
      <c r="A17" s="490" t="s">
        <v>47</v>
      </c>
      <c r="B17" s="490"/>
      <c r="C17" s="490"/>
      <c r="D17" s="490"/>
      <c r="E17" s="490"/>
      <c r="F17" s="490"/>
      <c r="G17" s="490"/>
      <c r="H17" s="490"/>
    </row>
    <row r="18" spans="1:14" ht="26.25" customHeight="1" x14ac:dyDescent="0.5">
      <c r="A18" s="98" t="s">
        <v>33</v>
      </c>
      <c r="B18" s="486" t="s">
        <v>138</v>
      </c>
      <c r="C18" s="486"/>
      <c r="D18" s="244"/>
      <c r="E18" s="99"/>
      <c r="F18" s="100"/>
      <c r="G18" s="100"/>
      <c r="H18" s="100"/>
    </row>
    <row r="19" spans="1:14" ht="26.25" customHeight="1" x14ac:dyDescent="0.5">
      <c r="A19" s="98" t="s">
        <v>34</v>
      </c>
      <c r="B19" s="101" t="s">
        <v>140</v>
      </c>
      <c r="C19" s="253">
        <v>1</v>
      </c>
      <c r="D19" s="100"/>
      <c r="E19" s="100"/>
      <c r="F19" s="100"/>
      <c r="G19" s="100"/>
      <c r="H19" s="100"/>
    </row>
    <row r="20" spans="1:14" ht="26.25" customHeight="1" x14ac:dyDescent="0.5">
      <c r="A20" s="98" t="s">
        <v>35</v>
      </c>
      <c r="B20" s="491" t="s">
        <v>136</v>
      </c>
      <c r="C20" s="491"/>
      <c r="D20" s="100"/>
      <c r="E20" s="100"/>
      <c r="F20" s="100"/>
      <c r="G20" s="100"/>
      <c r="H20" s="100"/>
    </row>
    <row r="21" spans="1:14" ht="26.25" customHeight="1" x14ac:dyDescent="0.5">
      <c r="A21" s="98" t="s">
        <v>36</v>
      </c>
      <c r="B21" s="492" t="s">
        <v>137</v>
      </c>
      <c r="C21" s="492"/>
      <c r="D21" s="492"/>
      <c r="E21" s="492"/>
      <c r="F21" s="492"/>
      <c r="G21" s="492"/>
      <c r="H21" s="492"/>
      <c r="I21" s="102"/>
    </row>
    <row r="22" spans="1:14" ht="26.25" customHeight="1" x14ac:dyDescent="0.5">
      <c r="A22" s="98" t="s">
        <v>37</v>
      </c>
      <c r="B22" s="103">
        <v>42655</v>
      </c>
      <c r="C22" s="100"/>
      <c r="D22" s="100"/>
      <c r="E22" s="100"/>
      <c r="F22" s="100"/>
      <c r="G22" s="100"/>
      <c r="H22" s="100"/>
    </row>
    <row r="23" spans="1:14" ht="26.25" customHeight="1" x14ac:dyDescent="0.5">
      <c r="A23" s="98" t="s">
        <v>38</v>
      </c>
      <c r="B23" s="103">
        <v>42689</v>
      </c>
      <c r="C23" s="100"/>
      <c r="D23" s="100"/>
      <c r="E23" s="100"/>
      <c r="F23" s="100"/>
      <c r="G23" s="100"/>
      <c r="H23" s="100"/>
    </row>
    <row r="24" spans="1:14" ht="18" x14ac:dyDescent="0.35">
      <c r="A24" s="98"/>
      <c r="B24" s="104"/>
    </row>
    <row r="25" spans="1:14" ht="18" x14ac:dyDescent="0.35">
      <c r="A25" s="105" t="s">
        <v>1</v>
      </c>
      <c r="B25" s="104"/>
    </row>
    <row r="26" spans="1:14" ht="26.25" customHeight="1" x14ac:dyDescent="0.45">
      <c r="A26" s="106" t="s">
        <v>4</v>
      </c>
      <c r="B26" s="486" t="s">
        <v>131</v>
      </c>
      <c r="C26" s="486"/>
    </row>
    <row r="27" spans="1:14" ht="26.25" customHeight="1" x14ac:dyDescent="0.5">
      <c r="A27" s="107" t="s">
        <v>48</v>
      </c>
      <c r="B27" s="491" t="s">
        <v>132</v>
      </c>
      <c r="C27" s="491"/>
    </row>
    <row r="28" spans="1:14" ht="27" customHeight="1" x14ac:dyDescent="0.45">
      <c r="A28" s="107" t="s">
        <v>6</v>
      </c>
      <c r="B28" s="108">
        <v>99.3</v>
      </c>
    </row>
    <row r="29" spans="1:14" s="13" customFormat="1" ht="27" customHeight="1" x14ac:dyDescent="0.5">
      <c r="A29" s="107" t="s">
        <v>49</v>
      </c>
      <c r="B29" s="109">
        <v>0</v>
      </c>
      <c r="C29" s="493" t="s">
        <v>50</v>
      </c>
      <c r="D29" s="494"/>
      <c r="E29" s="494"/>
      <c r="F29" s="494"/>
      <c r="G29" s="495"/>
      <c r="I29" s="110"/>
      <c r="J29" s="110"/>
      <c r="K29" s="110"/>
      <c r="L29" s="110"/>
    </row>
    <row r="30" spans="1:14" s="13" customFormat="1" ht="19.5" customHeight="1" x14ac:dyDescent="0.35">
      <c r="A30" s="107" t="s">
        <v>51</v>
      </c>
      <c r="B30" s="111">
        <f>B28-B29</f>
        <v>99.3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3" customFormat="1" ht="27" customHeight="1" x14ac:dyDescent="0.45">
      <c r="A31" s="107" t="s">
        <v>52</v>
      </c>
      <c r="B31" s="114">
        <v>1</v>
      </c>
      <c r="C31" s="496" t="s">
        <v>53</v>
      </c>
      <c r="D31" s="497"/>
      <c r="E31" s="497"/>
      <c r="F31" s="497"/>
      <c r="G31" s="497"/>
      <c r="H31" s="498"/>
      <c r="I31" s="110"/>
      <c r="J31" s="110"/>
      <c r="K31" s="110"/>
      <c r="L31" s="110"/>
    </row>
    <row r="32" spans="1:14" s="13" customFormat="1" ht="27" customHeight="1" x14ac:dyDescent="0.45">
      <c r="A32" s="107" t="s">
        <v>54</v>
      </c>
      <c r="B32" s="114">
        <v>1</v>
      </c>
      <c r="C32" s="496" t="s">
        <v>55</v>
      </c>
      <c r="D32" s="497"/>
      <c r="E32" s="497"/>
      <c r="F32" s="497"/>
      <c r="G32" s="497"/>
      <c r="H32" s="498"/>
      <c r="I32" s="110"/>
      <c r="J32" s="110"/>
      <c r="K32" s="110"/>
      <c r="L32" s="115"/>
      <c r="M32" s="115"/>
      <c r="N32" s="116"/>
    </row>
    <row r="33" spans="1:14" s="13" customFormat="1" ht="17.25" customHeight="1" x14ac:dyDescent="0.35">
      <c r="A33" s="107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3" customFormat="1" ht="18" x14ac:dyDescent="0.35">
      <c r="A34" s="107" t="s">
        <v>56</v>
      </c>
      <c r="B34" s="119">
        <f>B31/B32</f>
        <v>1</v>
      </c>
      <c r="C34" s="97" t="s">
        <v>57</v>
      </c>
      <c r="D34" s="97"/>
      <c r="E34" s="97"/>
      <c r="F34" s="97"/>
      <c r="G34" s="97"/>
      <c r="I34" s="110"/>
      <c r="J34" s="110"/>
      <c r="K34" s="110"/>
      <c r="L34" s="115"/>
      <c r="M34" s="115"/>
      <c r="N34" s="116"/>
    </row>
    <row r="35" spans="1:14" s="13" customFormat="1" ht="19.5" customHeight="1" x14ac:dyDescent="0.35">
      <c r="A35" s="107"/>
      <c r="B35" s="111"/>
      <c r="G35" s="97"/>
      <c r="I35" s="110"/>
      <c r="J35" s="110"/>
      <c r="K35" s="110"/>
      <c r="L35" s="115"/>
      <c r="M35" s="115"/>
      <c r="N35" s="116"/>
    </row>
    <row r="36" spans="1:14" s="13" customFormat="1" ht="27" customHeight="1" x14ac:dyDescent="0.45">
      <c r="A36" s="120" t="s">
        <v>58</v>
      </c>
      <c r="B36" s="121">
        <v>50</v>
      </c>
      <c r="C36" s="97"/>
      <c r="D36" s="499" t="s">
        <v>59</v>
      </c>
      <c r="E36" s="500"/>
      <c r="F36" s="499" t="s">
        <v>60</v>
      </c>
      <c r="G36" s="501"/>
      <c r="J36" s="110"/>
      <c r="K36" s="110"/>
      <c r="L36" s="115"/>
      <c r="M36" s="115"/>
      <c r="N36" s="116"/>
    </row>
    <row r="37" spans="1:14" s="13" customFormat="1" ht="27" customHeight="1" x14ac:dyDescent="0.45">
      <c r="A37" s="122" t="s">
        <v>61</v>
      </c>
      <c r="B37" s="123">
        <v>10</v>
      </c>
      <c r="C37" s="124" t="s">
        <v>62</v>
      </c>
      <c r="D37" s="125" t="s">
        <v>63</v>
      </c>
      <c r="E37" s="126" t="s">
        <v>64</v>
      </c>
      <c r="F37" s="125" t="s">
        <v>63</v>
      </c>
      <c r="G37" s="127" t="s">
        <v>64</v>
      </c>
      <c r="I37" s="128" t="s">
        <v>65</v>
      </c>
      <c r="J37" s="110"/>
      <c r="K37" s="110"/>
      <c r="L37" s="115"/>
      <c r="M37" s="115"/>
      <c r="N37" s="116"/>
    </row>
    <row r="38" spans="1:14" s="13" customFormat="1" ht="26.25" customHeight="1" x14ac:dyDescent="0.45">
      <c r="A38" s="122" t="s">
        <v>66</v>
      </c>
      <c r="B38" s="123">
        <v>25</v>
      </c>
      <c r="C38" s="129">
        <v>1</v>
      </c>
      <c r="D38" s="466">
        <v>86973335</v>
      </c>
      <c r="E38" s="131">
        <f>IF(ISBLANK(D38),"-",$D$48/$D$45*D38)</f>
        <v>73602050.48786886</v>
      </c>
      <c r="F38" s="466">
        <v>73753629</v>
      </c>
      <c r="G38" s="132">
        <f>IF(ISBLANK(F38),"-",$D$48/$F$45*F38)</f>
        <v>75532417.430488005</v>
      </c>
      <c r="I38" s="133"/>
      <c r="J38" s="110"/>
      <c r="K38" s="110"/>
      <c r="L38" s="115"/>
      <c r="M38" s="115"/>
      <c r="N38" s="116"/>
    </row>
    <row r="39" spans="1:14" s="13" customFormat="1" ht="26.25" customHeight="1" x14ac:dyDescent="0.45">
      <c r="A39" s="122" t="s">
        <v>67</v>
      </c>
      <c r="B39" s="123">
        <v>1</v>
      </c>
      <c r="C39" s="134">
        <v>2</v>
      </c>
      <c r="D39" s="467">
        <v>86930636</v>
      </c>
      <c r="E39" s="136">
        <f>IF(ISBLANK(D39),"-",$D$48/$D$45*D39)</f>
        <v>73565916.034087345</v>
      </c>
      <c r="F39" s="467">
        <v>74147100</v>
      </c>
      <c r="G39" s="137">
        <f>IF(ISBLANK(F39),"-",$D$48/$F$45*F39)</f>
        <v>75935378.155563533</v>
      </c>
      <c r="I39" s="503">
        <f>ABS((F43/D43*D42)-F42)/D42</f>
        <v>2.4615191636853367E-2</v>
      </c>
      <c r="J39" s="110"/>
      <c r="K39" s="110"/>
      <c r="L39" s="115"/>
      <c r="M39" s="115"/>
      <c r="N39" s="116"/>
    </row>
    <row r="40" spans="1:14" ht="26.25" customHeight="1" x14ac:dyDescent="0.45">
      <c r="A40" s="122" t="s">
        <v>68</v>
      </c>
      <c r="B40" s="123">
        <v>1</v>
      </c>
      <c r="C40" s="134">
        <v>3</v>
      </c>
      <c r="D40" s="467">
        <v>86924071</v>
      </c>
      <c r="E40" s="136">
        <f>IF(ISBLANK(D40),"-",$D$48/$D$45*D40)</f>
        <v>73560360.337488472</v>
      </c>
      <c r="F40" s="467">
        <v>74049778</v>
      </c>
      <c r="G40" s="137">
        <f>IF(ISBLANK(F40),"-",$D$48/$F$45*F40)</f>
        <v>75835708.945670545</v>
      </c>
      <c r="I40" s="503"/>
      <c r="L40" s="115"/>
      <c r="M40" s="115"/>
      <c r="N40" s="138"/>
    </row>
    <row r="41" spans="1:14" ht="27" customHeight="1" x14ac:dyDescent="0.45">
      <c r="A41" s="122" t="s">
        <v>69</v>
      </c>
      <c r="B41" s="123">
        <v>1</v>
      </c>
      <c r="C41" s="139">
        <v>4</v>
      </c>
      <c r="D41" s="468"/>
      <c r="E41" s="141" t="str">
        <f>IF(ISBLANK(D41),"-",$D$48/$D$45*D41)</f>
        <v>-</v>
      </c>
      <c r="F41" s="468"/>
      <c r="G41" s="142" t="str">
        <f>IF(ISBLANK(F41),"-",$D$48/$F$45*F41)</f>
        <v>-</v>
      </c>
      <c r="I41" s="143"/>
      <c r="L41" s="115"/>
      <c r="M41" s="115"/>
      <c r="N41" s="138"/>
    </row>
    <row r="42" spans="1:14" ht="27" customHeight="1" x14ac:dyDescent="0.45">
      <c r="A42" s="122" t="s">
        <v>70</v>
      </c>
      <c r="B42" s="123">
        <v>1</v>
      </c>
      <c r="C42" s="144" t="s">
        <v>71</v>
      </c>
      <c r="D42" s="145">
        <f>AVERAGE(D38:D41)</f>
        <v>86942680.666666672</v>
      </c>
      <c r="E42" s="146">
        <f>AVERAGE(E38:E41)</f>
        <v>73576108.953148231</v>
      </c>
      <c r="F42" s="145">
        <f>AVERAGE(F38:F41)</f>
        <v>73983502.333333328</v>
      </c>
      <c r="G42" s="147">
        <f>AVERAGE(G38:G41)</f>
        <v>75767834.843907356</v>
      </c>
      <c r="H42" s="148"/>
    </row>
    <row r="43" spans="1:14" ht="26.25" customHeight="1" x14ac:dyDescent="0.45">
      <c r="A43" s="122" t="s">
        <v>72</v>
      </c>
      <c r="B43" s="123">
        <v>1</v>
      </c>
      <c r="C43" s="149" t="s">
        <v>73</v>
      </c>
      <c r="D43" s="150">
        <v>17.850000000000001</v>
      </c>
      <c r="E43" s="138"/>
      <c r="F43" s="150">
        <v>14.75</v>
      </c>
      <c r="H43" s="148"/>
    </row>
    <row r="44" spans="1:14" ht="26.25" customHeight="1" x14ac:dyDescent="0.45">
      <c r="A44" s="122" t="s">
        <v>74</v>
      </c>
      <c r="B44" s="123">
        <v>1</v>
      </c>
      <c r="C44" s="151" t="s">
        <v>75</v>
      </c>
      <c r="D44" s="152">
        <f>D43*$B$34</f>
        <v>17.850000000000001</v>
      </c>
      <c r="E44" s="153"/>
      <c r="F44" s="152">
        <f>F43*$B$34</f>
        <v>14.75</v>
      </c>
      <c r="H44" s="148"/>
    </row>
    <row r="45" spans="1:14" ht="19.5" customHeight="1" x14ac:dyDescent="0.35">
      <c r="A45" s="122" t="s">
        <v>76</v>
      </c>
      <c r="B45" s="154">
        <f>(B44/B43)*(B42/B41)*(B40/B39)*(B38/B37)*B36</f>
        <v>125</v>
      </c>
      <c r="C45" s="151" t="s">
        <v>77</v>
      </c>
      <c r="D45" s="155">
        <f>D44*$B$30/100</f>
        <v>17.72505</v>
      </c>
      <c r="E45" s="156"/>
      <c r="F45" s="155">
        <f>F44*$B$30/100</f>
        <v>14.646749999999999</v>
      </c>
      <c r="H45" s="148"/>
    </row>
    <row r="46" spans="1:14" ht="19.5" customHeight="1" x14ac:dyDescent="0.35">
      <c r="A46" s="504" t="s">
        <v>78</v>
      </c>
      <c r="B46" s="505"/>
      <c r="C46" s="151" t="s">
        <v>79</v>
      </c>
      <c r="D46" s="157">
        <f>D45/$B$45</f>
        <v>0.14180039999999999</v>
      </c>
      <c r="E46" s="158"/>
      <c r="F46" s="159">
        <f>F45/$B$45</f>
        <v>0.11717399999999999</v>
      </c>
      <c r="H46" s="148"/>
    </row>
    <row r="47" spans="1:14" ht="27" customHeight="1" x14ac:dyDescent="0.45">
      <c r="A47" s="506"/>
      <c r="B47" s="507"/>
      <c r="C47" s="160" t="s">
        <v>80</v>
      </c>
      <c r="D47" s="161">
        <v>0.12</v>
      </c>
      <c r="E47" s="162"/>
      <c r="F47" s="158"/>
      <c r="H47" s="148"/>
    </row>
    <row r="48" spans="1:14" ht="18" x14ac:dyDescent="0.35">
      <c r="C48" s="163" t="s">
        <v>81</v>
      </c>
      <c r="D48" s="155">
        <f>D47*$B$45</f>
        <v>15</v>
      </c>
      <c r="F48" s="164"/>
      <c r="H48" s="148"/>
    </row>
    <row r="49" spans="1:12" ht="19.5" customHeight="1" x14ac:dyDescent="0.35">
      <c r="C49" s="165" t="s">
        <v>82</v>
      </c>
      <c r="D49" s="166">
        <f>D48/B34</f>
        <v>15</v>
      </c>
      <c r="F49" s="164"/>
      <c r="H49" s="148"/>
    </row>
    <row r="50" spans="1:12" ht="18" x14ac:dyDescent="0.35">
      <c r="C50" s="120" t="s">
        <v>83</v>
      </c>
      <c r="D50" s="167">
        <f>AVERAGE(E38:E41,G38:G41)</f>
        <v>74671971.898527786</v>
      </c>
      <c r="F50" s="168"/>
      <c r="H50" s="148"/>
    </row>
    <row r="51" spans="1:12" ht="18" x14ac:dyDescent="0.35">
      <c r="C51" s="122" t="s">
        <v>84</v>
      </c>
      <c r="D51" s="169">
        <f>STDEV(E38:E41,G38:G41)/D50</f>
        <v>1.6175534440239066E-2</v>
      </c>
      <c r="F51" s="168"/>
      <c r="H51" s="148"/>
    </row>
    <row r="52" spans="1:12" ht="19.5" customHeight="1" x14ac:dyDescent="0.35">
      <c r="C52" s="170" t="s">
        <v>20</v>
      </c>
      <c r="D52" s="171">
        <f>COUNT(E38:E41,G38:G41)</f>
        <v>6</v>
      </c>
      <c r="F52" s="168"/>
    </row>
    <row r="54" spans="1:12" ht="18" x14ac:dyDescent="0.35">
      <c r="A54" s="172" t="s">
        <v>1</v>
      </c>
      <c r="B54" s="173" t="s">
        <v>85</v>
      </c>
    </row>
    <row r="55" spans="1:12" ht="18" x14ac:dyDescent="0.35">
      <c r="A55" s="97" t="s">
        <v>86</v>
      </c>
      <c r="B55" s="174" t="str">
        <f>B21</f>
        <v>Each film coated tablet contains Tenofovir Disoproxil Fumarate 300 mg and Lamivudine USP 300 mg</v>
      </c>
    </row>
    <row r="56" spans="1:12" ht="26.25" customHeight="1" x14ac:dyDescent="0.45">
      <c r="A56" s="175" t="s">
        <v>87</v>
      </c>
      <c r="B56" s="176">
        <v>300</v>
      </c>
      <c r="C56" s="97" t="str">
        <f>B20</f>
        <v>Tenofovir Disoproxil Fumarate &amp; Lamivudine</v>
      </c>
      <c r="H56" s="177"/>
    </row>
    <row r="57" spans="1:12" ht="18" x14ac:dyDescent="0.35">
      <c r="A57" s="174" t="s">
        <v>88</v>
      </c>
      <c r="B57" s="245">
        <f>Uniformity!C46</f>
        <v>862.26350000000025</v>
      </c>
      <c r="H57" s="177"/>
    </row>
    <row r="58" spans="1:12" ht="19.5" customHeight="1" x14ac:dyDescent="0.35">
      <c r="H58" s="177"/>
    </row>
    <row r="59" spans="1:12" s="13" customFormat="1" ht="27" customHeight="1" x14ac:dyDescent="0.45">
      <c r="A59" s="120" t="s">
        <v>89</v>
      </c>
      <c r="B59" s="464">
        <v>200</v>
      </c>
      <c r="C59" s="97"/>
      <c r="D59" s="178" t="s">
        <v>90</v>
      </c>
      <c r="E59" s="179" t="s">
        <v>62</v>
      </c>
      <c r="F59" s="179" t="s">
        <v>63</v>
      </c>
      <c r="G59" s="179" t="s">
        <v>91</v>
      </c>
      <c r="H59" s="124" t="s">
        <v>92</v>
      </c>
      <c r="L59" s="110"/>
    </row>
    <row r="60" spans="1:12" s="13" customFormat="1" ht="26.25" customHeight="1" x14ac:dyDescent="0.45">
      <c r="A60" s="122" t="s">
        <v>93</v>
      </c>
      <c r="B60" s="465">
        <v>2</v>
      </c>
      <c r="C60" s="508" t="s">
        <v>94</v>
      </c>
      <c r="D60" s="511">
        <v>875.14</v>
      </c>
      <c r="E60" s="180">
        <v>1</v>
      </c>
      <c r="F60" s="181">
        <v>77240614</v>
      </c>
      <c r="G60" s="246">
        <f>IF(ISBLANK(F60),"-",(F60/$D$50*$D$47*$B$68)*($B$57/$D$60))</f>
        <v>305.75376956574945</v>
      </c>
      <c r="H60" s="264">
        <f t="shared" ref="H60:H71" si="0">IF(ISBLANK(F60),"-",(G60/$B$56)*100)</f>
        <v>101.91792318858315</v>
      </c>
      <c r="L60" s="110"/>
    </row>
    <row r="61" spans="1:12" s="13" customFormat="1" ht="26.25" customHeight="1" x14ac:dyDescent="0.45">
      <c r="A61" s="122" t="s">
        <v>95</v>
      </c>
      <c r="B61" s="465">
        <v>25</v>
      </c>
      <c r="C61" s="509"/>
      <c r="D61" s="512"/>
      <c r="E61" s="182">
        <v>2</v>
      </c>
      <c r="F61" s="135">
        <v>78089829</v>
      </c>
      <c r="G61" s="247">
        <f>IF(ISBLANK(F61),"-",(F61/$D$50*$D$47*$B$68)*($B$57/$D$60))</f>
        <v>309.11535195065613</v>
      </c>
      <c r="H61" s="265">
        <f t="shared" si="0"/>
        <v>103.03845065021871</v>
      </c>
      <c r="L61" s="110"/>
    </row>
    <row r="62" spans="1:12" s="13" customFormat="1" ht="26.25" customHeight="1" x14ac:dyDescent="0.45">
      <c r="A62" s="122" t="s">
        <v>96</v>
      </c>
      <c r="B62" s="123">
        <v>1</v>
      </c>
      <c r="C62" s="509"/>
      <c r="D62" s="512"/>
      <c r="E62" s="182">
        <v>3</v>
      </c>
      <c r="F62" s="183">
        <v>76469766</v>
      </c>
      <c r="G62" s="247">
        <f>IF(ISBLANK(F62),"-",(F62/$D$50*$D$47*$B$68)*($B$57/$D$60))</f>
        <v>302.70239970271064</v>
      </c>
      <c r="H62" s="265">
        <f t="shared" si="0"/>
        <v>100.90079990090355</v>
      </c>
      <c r="L62" s="110"/>
    </row>
    <row r="63" spans="1:12" ht="27" customHeight="1" x14ac:dyDescent="0.45">
      <c r="A63" s="122" t="s">
        <v>97</v>
      </c>
      <c r="B63" s="123">
        <v>1</v>
      </c>
      <c r="C63" s="510"/>
      <c r="D63" s="513"/>
      <c r="E63" s="184">
        <v>4</v>
      </c>
      <c r="F63" s="185"/>
      <c r="G63" s="247" t="str">
        <f>IF(ISBLANK(F63),"-",(F63/$D$50*$D$47*$B$68)*($B$57/$D$60))</f>
        <v>-</v>
      </c>
      <c r="H63" s="265" t="str">
        <f t="shared" si="0"/>
        <v>-</v>
      </c>
    </row>
    <row r="64" spans="1:12" ht="26.25" customHeight="1" x14ac:dyDescent="0.45">
      <c r="A64" s="122" t="s">
        <v>98</v>
      </c>
      <c r="B64" s="123">
        <v>1</v>
      </c>
      <c r="C64" s="508" t="s">
        <v>99</v>
      </c>
      <c r="D64" s="511">
        <v>868.68</v>
      </c>
      <c r="E64" s="180">
        <v>1</v>
      </c>
      <c r="F64" s="181">
        <v>76410947</v>
      </c>
      <c r="G64" s="246">
        <f>IF(ISBLANK(F64),"-",(F64/$D$50*$D$47*$B$68)*($B$57/$D$64))</f>
        <v>304.71890336723806</v>
      </c>
      <c r="H64" s="264">
        <f t="shared" si="0"/>
        <v>101.57296778907936</v>
      </c>
    </row>
    <row r="65" spans="1:8" ht="26.25" customHeight="1" x14ac:dyDescent="0.45">
      <c r="A65" s="122" t="s">
        <v>100</v>
      </c>
      <c r="B65" s="123">
        <v>1</v>
      </c>
      <c r="C65" s="509"/>
      <c r="D65" s="512"/>
      <c r="E65" s="182">
        <v>2</v>
      </c>
      <c r="F65" s="135">
        <v>76816420</v>
      </c>
      <c r="G65" s="247">
        <f>IF(ISBLANK(F65),"-",(F65/$D$50*$D$47*$B$68)*($B$57/$D$64))</f>
        <v>306.33588748739334</v>
      </c>
      <c r="H65" s="265">
        <f t="shared" si="0"/>
        <v>102.11196249579777</v>
      </c>
    </row>
    <row r="66" spans="1:8" ht="26.25" customHeight="1" x14ac:dyDescent="0.45">
      <c r="A66" s="122" t="s">
        <v>101</v>
      </c>
      <c r="B66" s="123">
        <v>1</v>
      </c>
      <c r="C66" s="509"/>
      <c r="D66" s="512"/>
      <c r="E66" s="182">
        <v>3</v>
      </c>
      <c r="F66" s="135">
        <v>76716216</v>
      </c>
      <c r="G66" s="247">
        <f>IF(ISBLANK(F66),"-",(F66/$D$50*$D$47*$B$68)*($B$57/$D$64))</f>
        <v>305.93628436517304</v>
      </c>
      <c r="H66" s="265">
        <f t="shared" si="0"/>
        <v>101.97876145505769</v>
      </c>
    </row>
    <row r="67" spans="1:8" ht="27" customHeight="1" x14ac:dyDescent="0.45">
      <c r="A67" s="122" t="s">
        <v>102</v>
      </c>
      <c r="B67" s="123">
        <v>1</v>
      </c>
      <c r="C67" s="510"/>
      <c r="D67" s="513"/>
      <c r="E67" s="184">
        <v>4</v>
      </c>
      <c r="F67" s="185"/>
      <c r="G67" s="263" t="str">
        <f>IF(ISBLANK(F67),"-",(F67/$D$50*$D$47*$B$68)*($B$57/$D$64))</f>
        <v>-</v>
      </c>
      <c r="H67" s="266" t="str">
        <f t="shared" si="0"/>
        <v>-</v>
      </c>
    </row>
    <row r="68" spans="1:8" ht="26.25" customHeight="1" x14ac:dyDescent="0.5">
      <c r="A68" s="122" t="s">
        <v>103</v>
      </c>
      <c r="B68" s="186">
        <f>(B67/B66)*(B65/B64)*(B63/B62)*(B61/B60)*B59</f>
        <v>2500</v>
      </c>
      <c r="C68" s="508" t="s">
        <v>104</v>
      </c>
      <c r="D68" s="511">
        <v>876.57</v>
      </c>
      <c r="E68" s="180">
        <v>1</v>
      </c>
      <c r="F68" s="181">
        <v>77278461</v>
      </c>
      <c r="G68" s="246">
        <f>IF(ISBLANK(F68),"-",(F68/$D$50*$D$47*$B$68)*($B$57/$D$68))</f>
        <v>305.40454690488576</v>
      </c>
      <c r="H68" s="265">
        <f t="shared" si="0"/>
        <v>101.80151563496192</v>
      </c>
    </row>
    <row r="69" spans="1:8" ht="27" customHeight="1" x14ac:dyDescent="0.5">
      <c r="A69" s="170" t="s">
        <v>105</v>
      </c>
      <c r="B69" s="187">
        <f>(D47*B68)/B56*B57</f>
        <v>862.26350000000025</v>
      </c>
      <c r="C69" s="509"/>
      <c r="D69" s="512"/>
      <c r="E69" s="182">
        <v>2</v>
      </c>
      <c r="F69" s="135">
        <v>76493159</v>
      </c>
      <c r="G69" s="247">
        <f>IF(ISBLANK(F69),"-",(F69/$D$50*$D$47*$B$68)*($B$57/$D$68))</f>
        <v>302.30103269937518</v>
      </c>
      <c r="H69" s="265">
        <f t="shared" si="0"/>
        <v>100.76701089979171</v>
      </c>
    </row>
    <row r="70" spans="1:8" ht="26.25" customHeight="1" x14ac:dyDescent="0.45">
      <c r="A70" s="521" t="s">
        <v>78</v>
      </c>
      <c r="B70" s="522"/>
      <c r="C70" s="509"/>
      <c r="D70" s="512"/>
      <c r="E70" s="182">
        <v>3</v>
      </c>
      <c r="F70" s="135">
        <v>77062148</v>
      </c>
      <c r="G70" s="247">
        <f>IF(ISBLANK(F70),"-",(F70/$D$50*$D$47*$B$68)*($B$57/$D$68))</f>
        <v>304.54967773565335</v>
      </c>
      <c r="H70" s="265">
        <f t="shared" si="0"/>
        <v>101.51655924521779</v>
      </c>
    </row>
    <row r="71" spans="1:8" ht="27" customHeight="1" x14ac:dyDescent="0.45">
      <c r="A71" s="523"/>
      <c r="B71" s="524"/>
      <c r="C71" s="520"/>
      <c r="D71" s="513"/>
      <c r="E71" s="184">
        <v>4</v>
      </c>
      <c r="F71" s="185"/>
      <c r="G71" s="26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5">
      <c r="A72" s="188"/>
      <c r="B72" s="188"/>
      <c r="C72" s="188"/>
      <c r="D72" s="188"/>
      <c r="E72" s="188"/>
      <c r="F72" s="190" t="s">
        <v>71</v>
      </c>
      <c r="G72" s="252">
        <f>AVERAGE(G60:G71)</f>
        <v>305.20198375320388</v>
      </c>
      <c r="H72" s="267">
        <f>AVERAGE(H60:H71)</f>
        <v>101.73399458440127</v>
      </c>
    </row>
    <row r="73" spans="1:8" ht="26.25" customHeight="1" x14ac:dyDescent="0.45">
      <c r="C73" s="188"/>
      <c r="D73" s="188"/>
      <c r="E73" s="188"/>
      <c r="F73" s="191" t="s">
        <v>84</v>
      </c>
      <c r="G73" s="251">
        <f>STDEV(G60:G71)/G72</f>
        <v>6.6351720252561799E-3</v>
      </c>
      <c r="H73" s="251">
        <f>STDEV(H60:H71)/H72</f>
        <v>6.6351720252561808E-3</v>
      </c>
    </row>
    <row r="74" spans="1:8" ht="27" customHeight="1" x14ac:dyDescent="0.45">
      <c r="A74" s="188"/>
      <c r="B74" s="188"/>
      <c r="C74" s="189"/>
      <c r="D74" s="189"/>
      <c r="E74" s="192"/>
      <c r="F74" s="193" t="s">
        <v>20</v>
      </c>
      <c r="G74" s="194">
        <f>COUNT(G60:G71)</f>
        <v>9</v>
      </c>
      <c r="H74" s="194">
        <f>COUNT(H60:H71)</f>
        <v>9</v>
      </c>
    </row>
    <row r="76" spans="1:8" ht="26.25" customHeight="1" x14ac:dyDescent="0.45">
      <c r="A76" s="106" t="s">
        <v>106</v>
      </c>
      <c r="B76" s="195" t="s">
        <v>107</v>
      </c>
      <c r="C76" s="516" t="str">
        <f>B26</f>
        <v>Lamivudine</v>
      </c>
      <c r="D76" s="516"/>
      <c r="E76" s="196" t="s">
        <v>108</v>
      </c>
      <c r="F76" s="196"/>
      <c r="G76" s="471">
        <f>H72</f>
        <v>101.73399458440127</v>
      </c>
      <c r="H76" s="198"/>
    </row>
    <row r="77" spans="1:8" ht="18" x14ac:dyDescent="0.35">
      <c r="A77" s="105" t="s">
        <v>109</v>
      </c>
      <c r="B77" s="105" t="s">
        <v>110</v>
      </c>
    </row>
    <row r="78" spans="1:8" ht="18" x14ac:dyDescent="0.35">
      <c r="A78" s="105"/>
      <c r="B78" s="105"/>
    </row>
    <row r="79" spans="1:8" ht="26.25" customHeight="1" x14ac:dyDescent="0.45">
      <c r="A79" s="106" t="s">
        <v>4</v>
      </c>
      <c r="B79" s="502" t="str">
        <f>B26</f>
        <v>Lamivudine</v>
      </c>
      <c r="C79" s="502"/>
    </row>
    <row r="80" spans="1:8" ht="26.25" customHeight="1" x14ac:dyDescent="0.45">
      <c r="A80" s="107" t="s">
        <v>48</v>
      </c>
      <c r="B80" s="502" t="str">
        <f>B27</f>
        <v>L 10M388</v>
      </c>
      <c r="C80" s="502"/>
    </row>
    <row r="81" spans="1:12" ht="27" customHeight="1" x14ac:dyDescent="0.45">
      <c r="A81" s="107" t="s">
        <v>6</v>
      </c>
      <c r="B81" s="199">
        <f>B28</f>
        <v>99.3</v>
      </c>
    </row>
    <row r="82" spans="1:12" s="13" customFormat="1" ht="27" customHeight="1" x14ac:dyDescent="0.5">
      <c r="A82" s="107" t="s">
        <v>49</v>
      </c>
      <c r="B82" s="109">
        <v>0</v>
      </c>
      <c r="C82" s="493" t="s">
        <v>50</v>
      </c>
      <c r="D82" s="494"/>
      <c r="E82" s="494"/>
      <c r="F82" s="494"/>
      <c r="G82" s="495"/>
      <c r="I82" s="110"/>
      <c r="J82" s="110"/>
      <c r="K82" s="110"/>
      <c r="L82" s="110"/>
    </row>
    <row r="83" spans="1:12" s="13" customFormat="1" ht="19.5" customHeight="1" x14ac:dyDescent="0.35">
      <c r="A83" s="107" t="s">
        <v>51</v>
      </c>
      <c r="B83" s="111">
        <f>B81-B82</f>
        <v>99.3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3" customFormat="1" ht="27" customHeight="1" x14ac:dyDescent="0.45">
      <c r="A84" s="107" t="s">
        <v>52</v>
      </c>
      <c r="B84" s="114">
        <v>1</v>
      </c>
      <c r="C84" s="496" t="s">
        <v>111</v>
      </c>
      <c r="D84" s="497"/>
      <c r="E84" s="497"/>
      <c r="F84" s="497"/>
      <c r="G84" s="497"/>
      <c r="H84" s="498"/>
      <c r="I84" s="110"/>
      <c r="J84" s="110"/>
      <c r="K84" s="110"/>
      <c r="L84" s="110"/>
    </row>
    <row r="85" spans="1:12" s="13" customFormat="1" ht="27" customHeight="1" x14ac:dyDescent="0.45">
      <c r="A85" s="107" t="s">
        <v>54</v>
      </c>
      <c r="B85" s="114">
        <v>1</v>
      </c>
      <c r="C85" s="496" t="s">
        <v>112</v>
      </c>
      <c r="D85" s="497"/>
      <c r="E85" s="497"/>
      <c r="F85" s="497"/>
      <c r="G85" s="497"/>
      <c r="H85" s="498"/>
      <c r="I85" s="110"/>
      <c r="J85" s="110"/>
      <c r="K85" s="110"/>
      <c r="L85" s="110"/>
    </row>
    <row r="86" spans="1:12" s="13" customFormat="1" ht="18" x14ac:dyDescent="0.35">
      <c r="A86" s="107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3" customFormat="1" ht="18" x14ac:dyDescent="0.35">
      <c r="A87" s="107" t="s">
        <v>56</v>
      </c>
      <c r="B87" s="119">
        <f>B84/B85</f>
        <v>1</v>
      </c>
      <c r="C87" s="97" t="s">
        <v>57</v>
      </c>
      <c r="D87" s="97"/>
      <c r="E87" s="97"/>
      <c r="F87" s="97"/>
      <c r="G87" s="97"/>
      <c r="I87" s="110"/>
      <c r="J87" s="110"/>
      <c r="K87" s="110"/>
      <c r="L87" s="110"/>
    </row>
    <row r="88" spans="1:12" ht="19.5" customHeight="1" x14ac:dyDescent="0.35">
      <c r="A88" s="105"/>
      <c r="B88" s="105"/>
    </row>
    <row r="89" spans="1:12" ht="27" customHeight="1" x14ac:dyDescent="0.45">
      <c r="A89" s="120" t="s">
        <v>58</v>
      </c>
      <c r="B89" s="121">
        <v>50</v>
      </c>
      <c r="D89" s="200" t="s">
        <v>59</v>
      </c>
      <c r="E89" s="201"/>
      <c r="F89" s="499" t="s">
        <v>60</v>
      </c>
      <c r="G89" s="501"/>
    </row>
    <row r="90" spans="1:12" ht="27" customHeight="1" x14ac:dyDescent="0.45">
      <c r="A90" s="122" t="s">
        <v>61</v>
      </c>
      <c r="B90" s="123">
        <v>1</v>
      </c>
      <c r="C90" s="202" t="s">
        <v>62</v>
      </c>
      <c r="D90" s="125" t="s">
        <v>63</v>
      </c>
      <c r="E90" s="126" t="s">
        <v>64</v>
      </c>
      <c r="F90" s="125" t="s">
        <v>63</v>
      </c>
      <c r="G90" s="203" t="s">
        <v>64</v>
      </c>
      <c r="I90" s="128" t="s">
        <v>65</v>
      </c>
    </row>
    <row r="91" spans="1:12" ht="26.25" customHeight="1" x14ac:dyDescent="0.45">
      <c r="A91" s="122" t="s">
        <v>66</v>
      </c>
      <c r="B91" s="123">
        <v>1</v>
      </c>
      <c r="C91" s="204">
        <v>1</v>
      </c>
      <c r="D91" s="130">
        <v>42655878</v>
      </c>
      <c r="E91" s="131">
        <f>IF(ISBLANK(D91),"-",$D$101/$D$98*D91)</f>
        <v>50027066.014899321</v>
      </c>
      <c r="F91" s="130">
        <v>44803635</v>
      </c>
      <c r="G91" s="132">
        <f>IF(ISBLANK(F91),"-",$D$101/$F$98*F91)</f>
        <v>49837413.069691077</v>
      </c>
      <c r="I91" s="133"/>
    </row>
    <row r="92" spans="1:12" ht="26.25" customHeight="1" x14ac:dyDescent="0.45">
      <c r="A92" s="122" t="s">
        <v>67</v>
      </c>
      <c r="B92" s="123">
        <v>1</v>
      </c>
      <c r="C92" s="189">
        <v>2</v>
      </c>
      <c r="D92" s="135">
        <v>42265757</v>
      </c>
      <c r="E92" s="136">
        <f>IF(ISBLANK(D92),"-",$D$101/$D$98*D92)</f>
        <v>49569529.798652679</v>
      </c>
      <c r="F92" s="135">
        <v>44637746</v>
      </c>
      <c r="G92" s="137">
        <f>IF(ISBLANK(F92),"-",$D$101/$F$98*F92)</f>
        <v>49652886.108503267</v>
      </c>
      <c r="I92" s="503">
        <f>ABS((F96/D96*D95)-F95)/D95</f>
        <v>3.7065878116987748E-4</v>
      </c>
    </row>
    <row r="93" spans="1:12" ht="26.25" customHeight="1" x14ac:dyDescent="0.45">
      <c r="A93" s="122" t="s">
        <v>68</v>
      </c>
      <c r="B93" s="123">
        <v>1</v>
      </c>
      <c r="C93" s="189">
        <v>3</v>
      </c>
      <c r="D93" s="135">
        <v>42488997</v>
      </c>
      <c r="E93" s="136">
        <f>IF(ISBLANK(D93),"-",$D$101/$D$98*D93)</f>
        <v>49831346.991049141</v>
      </c>
      <c r="F93" s="135">
        <v>44846516</v>
      </c>
      <c r="G93" s="137">
        <f>IF(ISBLANK(F93),"-",$D$101/$F$98*F93)</f>
        <v>49885111.835870236</v>
      </c>
      <c r="I93" s="503"/>
    </row>
    <row r="94" spans="1:12" ht="27" customHeight="1" x14ac:dyDescent="0.45">
      <c r="A94" s="122" t="s">
        <v>69</v>
      </c>
      <c r="B94" s="123">
        <v>1</v>
      </c>
      <c r="C94" s="205">
        <v>4</v>
      </c>
      <c r="D94" s="140"/>
      <c r="E94" s="141" t="str">
        <f>IF(ISBLANK(D94),"-",$D$101/$D$98*D94)</f>
        <v>-</v>
      </c>
      <c r="F94" s="206"/>
      <c r="G94" s="142" t="str">
        <f>IF(ISBLANK(F94),"-",$D$101/$F$98*F94)</f>
        <v>-</v>
      </c>
      <c r="I94" s="143"/>
    </row>
    <row r="95" spans="1:12" ht="27" customHeight="1" x14ac:dyDescent="0.45">
      <c r="A95" s="122" t="s">
        <v>70</v>
      </c>
      <c r="B95" s="123">
        <v>1</v>
      </c>
      <c r="C95" s="207" t="s">
        <v>71</v>
      </c>
      <c r="D95" s="208">
        <f>AVERAGE(D91:D94)</f>
        <v>42470210.666666664</v>
      </c>
      <c r="E95" s="146">
        <f>AVERAGE(E91:E94)</f>
        <v>49809314.268200375</v>
      </c>
      <c r="F95" s="209">
        <f>AVERAGE(F91:F94)</f>
        <v>44762632.333333336</v>
      </c>
      <c r="G95" s="210">
        <f>AVERAGE(G91:G94)</f>
        <v>49791803.67135486</v>
      </c>
    </row>
    <row r="96" spans="1:12" ht="26.25" customHeight="1" x14ac:dyDescent="0.45">
      <c r="A96" s="122" t="s">
        <v>72</v>
      </c>
      <c r="B96" s="108">
        <v>1</v>
      </c>
      <c r="C96" s="211" t="s">
        <v>113</v>
      </c>
      <c r="D96" s="212">
        <v>12.88</v>
      </c>
      <c r="E96" s="138"/>
      <c r="F96" s="150">
        <v>13.58</v>
      </c>
    </row>
    <row r="97" spans="1:10" ht="26.25" customHeight="1" x14ac:dyDescent="0.45">
      <c r="A97" s="122" t="s">
        <v>74</v>
      </c>
      <c r="B97" s="108">
        <v>1</v>
      </c>
      <c r="C97" s="213" t="s">
        <v>114</v>
      </c>
      <c r="D97" s="214">
        <f>D96*$B$87</f>
        <v>12.88</v>
      </c>
      <c r="E97" s="153"/>
      <c r="F97" s="152">
        <f>F96*$B$87</f>
        <v>13.58</v>
      </c>
    </row>
    <row r="98" spans="1:10" ht="19.5" customHeight="1" x14ac:dyDescent="0.35">
      <c r="A98" s="122" t="s">
        <v>76</v>
      </c>
      <c r="B98" s="215">
        <f>(B97/B96)*(B95/B94)*(B93/B92)*(B91/B90)*B89</f>
        <v>50</v>
      </c>
      <c r="C98" s="213" t="s">
        <v>115</v>
      </c>
      <c r="D98" s="216">
        <f>D97*$B$83/100</f>
        <v>12.789840000000002</v>
      </c>
      <c r="E98" s="156"/>
      <c r="F98" s="155">
        <f>F97*$B$83/100</f>
        <v>13.48494</v>
      </c>
    </row>
    <row r="99" spans="1:10" ht="19.5" customHeight="1" x14ac:dyDescent="0.35">
      <c r="A99" s="504" t="s">
        <v>78</v>
      </c>
      <c r="B99" s="518"/>
      <c r="C99" s="213" t="s">
        <v>116</v>
      </c>
      <c r="D99" s="217">
        <f>D98/$B$98</f>
        <v>0.25579680000000005</v>
      </c>
      <c r="E99" s="156"/>
      <c r="F99" s="159">
        <f>F98/$B$98</f>
        <v>0.26969880000000002</v>
      </c>
      <c r="G99" s="218"/>
      <c r="H99" s="148"/>
    </row>
    <row r="100" spans="1:10" ht="19.5" customHeight="1" x14ac:dyDescent="0.35">
      <c r="A100" s="506"/>
      <c r="B100" s="519"/>
      <c r="C100" s="213" t="s">
        <v>80</v>
      </c>
      <c r="D100" s="219">
        <f>$B$56/$B$116</f>
        <v>0.3</v>
      </c>
      <c r="F100" s="164"/>
      <c r="G100" s="220"/>
      <c r="H100" s="148"/>
    </row>
    <row r="101" spans="1:10" ht="18" x14ac:dyDescent="0.35">
      <c r="C101" s="213" t="s">
        <v>81</v>
      </c>
      <c r="D101" s="214">
        <f>D100*$B$98</f>
        <v>15</v>
      </c>
      <c r="F101" s="164"/>
      <c r="G101" s="218"/>
      <c r="H101" s="148"/>
    </row>
    <row r="102" spans="1:10" ht="19.5" customHeight="1" x14ac:dyDescent="0.35">
      <c r="C102" s="221" t="s">
        <v>82</v>
      </c>
      <c r="D102" s="222">
        <f>D101/B34</f>
        <v>15</v>
      </c>
      <c r="F102" s="168"/>
      <c r="G102" s="218"/>
      <c r="H102" s="148"/>
      <c r="J102" s="223"/>
    </row>
    <row r="103" spans="1:10" ht="18" x14ac:dyDescent="0.35">
      <c r="C103" s="224" t="s">
        <v>117</v>
      </c>
      <c r="D103" s="225">
        <f>AVERAGE(E91:E94,G91:G94)</f>
        <v>49800558.969777621</v>
      </c>
      <c r="F103" s="168"/>
      <c r="G103" s="226"/>
      <c r="H103" s="148"/>
      <c r="J103" s="227"/>
    </row>
    <row r="104" spans="1:10" ht="18" x14ac:dyDescent="0.35">
      <c r="C104" s="191" t="s">
        <v>84</v>
      </c>
      <c r="D104" s="228">
        <f>STDEV(E91:E94,G91:G94)/D103</f>
        <v>3.3109941891347082E-3</v>
      </c>
      <c r="F104" s="168"/>
      <c r="G104" s="218"/>
      <c r="H104" s="148"/>
      <c r="J104" s="227"/>
    </row>
    <row r="105" spans="1:10" ht="19.5" customHeight="1" x14ac:dyDescent="0.35">
      <c r="C105" s="193" t="s">
        <v>20</v>
      </c>
      <c r="D105" s="229">
        <f>COUNT(E91:E94,G91:G94)</f>
        <v>6</v>
      </c>
      <c r="F105" s="168"/>
      <c r="G105" s="218"/>
      <c r="H105" s="148"/>
      <c r="J105" s="227"/>
    </row>
    <row r="106" spans="1:10" ht="19.5" customHeight="1" x14ac:dyDescent="0.35">
      <c r="A106" s="172"/>
      <c r="B106" s="172"/>
      <c r="C106" s="172"/>
      <c r="D106" s="172"/>
      <c r="E106" s="172"/>
    </row>
    <row r="107" spans="1:10" ht="27" customHeight="1" x14ac:dyDescent="0.45">
      <c r="A107" s="120" t="s">
        <v>118</v>
      </c>
      <c r="B107" s="121">
        <v>1000</v>
      </c>
      <c r="C107" s="268" t="s">
        <v>119</v>
      </c>
      <c r="D107" s="268" t="s">
        <v>63</v>
      </c>
      <c r="E107" s="268" t="s">
        <v>120</v>
      </c>
      <c r="F107" s="230" t="s">
        <v>121</v>
      </c>
    </row>
    <row r="108" spans="1:10" ht="26.25" customHeight="1" x14ac:dyDescent="0.45">
      <c r="A108" s="122" t="s">
        <v>122</v>
      </c>
      <c r="B108" s="123">
        <v>1</v>
      </c>
      <c r="C108" s="273">
        <v>1</v>
      </c>
      <c r="D108" s="274">
        <v>47955849</v>
      </c>
      <c r="E108" s="248">
        <f t="shared" ref="E108:E113" si="1">IF(ISBLANK(D108),"-",D108/$D$103*$D$100*$B$116)</f>
        <v>288.88741406960639</v>
      </c>
      <c r="F108" s="275">
        <f t="shared" ref="F108:F113" si="2">IF(ISBLANK(D108), "-", (E108/$B$56)*100)</f>
        <v>96.295804689868802</v>
      </c>
    </row>
    <row r="109" spans="1:10" ht="26.25" customHeight="1" x14ac:dyDescent="0.45">
      <c r="A109" s="122" t="s">
        <v>95</v>
      </c>
      <c r="B109" s="123">
        <v>1</v>
      </c>
      <c r="C109" s="269">
        <v>2</v>
      </c>
      <c r="D109" s="271">
        <v>47953359</v>
      </c>
      <c r="E109" s="249">
        <f t="shared" si="1"/>
        <v>288.87241423796894</v>
      </c>
      <c r="F109" s="276">
        <f t="shared" si="2"/>
        <v>96.290804745989647</v>
      </c>
    </row>
    <row r="110" spans="1:10" ht="26.25" customHeight="1" x14ac:dyDescent="0.45">
      <c r="A110" s="122" t="s">
        <v>96</v>
      </c>
      <c r="B110" s="123">
        <v>1</v>
      </c>
      <c r="C110" s="269">
        <v>3</v>
      </c>
      <c r="D110" s="271">
        <v>48020867</v>
      </c>
      <c r="E110" s="249">
        <f t="shared" si="1"/>
        <v>289.27908437217945</v>
      </c>
      <c r="F110" s="276">
        <f t="shared" si="2"/>
        <v>96.426361457393156</v>
      </c>
    </row>
    <row r="111" spans="1:10" ht="26.25" customHeight="1" x14ac:dyDescent="0.45">
      <c r="A111" s="122" t="s">
        <v>97</v>
      </c>
      <c r="B111" s="123">
        <v>1</v>
      </c>
      <c r="C111" s="269">
        <v>4</v>
      </c>
      <c r="D111" s="271">
        <v>48127389</v>
      </c>
      <c r="E111" s="249">
        <f t="shared" si="1"/>
        <v>289.92077596482591</v>
      </c>
      <c r="F111" s="276">
        <f t="shared" si="2"/>
        <v>96.640258654941974</v>
      </c>
    </row>
    <row r="112" spans="1:10" ht="26.25" customHeight="1" x14ac:dyDescent="0.45">
      <c r="A112" s="122" t="s">
        <v>98</v>
      </c>
      <c r="B112" s="123">
        <v>1</v>
      </c>
      <c r="C112" s="269">
        <v>5</v>
      </c>
      <c r="D112" s="271">
        <v>47870195</v>
      </c>
      <c r="E112" s="249">
        <f t="shared" si="1"/>
        <v>288.37143190933398</v>
      </c>
      <c r="F112" s="276">
        <f t="shared" si="2"/>
        <v>96.123810636444659</v>
      </c>
    </row>
    <row r="113" spans="1:10" ht="27" customHeight="1" x14ac:dyDescent="0.45">
      <c r="A113" s="122" t="s">
        <v>100</v>
      </c>
      <c r="B113" s="123">
        <v>1</v>
      </c>
      <c r="C113" s="270">
        <v>6</v>
      </c>
      <c r="D113" s="272">
        <v>48130675</v>
      </c>
      <c r="E113" s="250">
        <f t="shared" si="1"/>
        <v>289.94057092336442</v>
      </c>
      <c r="F113" s="277">
        <f t="shared" si="2"/>
        <v>96.646856974454806</v>
      </c>
    </row>
    <row r="114" spans="1:10" ht="27" customHeight="1" x14ac:dyDescent="0.45">
      <c r="A114" s="122" t="s">
        <v>101</v>
      </c>
      <c r="B114" s="123">
        <v>1</v>
      </c>
      <c r="C114" s="231"/>
      <c r="D114" s="189"/>
      <c r="E114" s="96"/>
      <c r="F114" s="278"/>
    </row>
    <row r="115" spans="1:10" ht="26.25" customHeight="1" x14ac:dyDescent="0.45">
      <c r="A115" s="122" t="s">
        <v>102</v>
      </c>
      <c r="B115" s="123">
        <v>1</v>
      </c>
      <c r="C115" s="231"/>
      <c r="D115" s="255" t="s">
        <v>71</v>
      </c>
      <c r="E115" s="257">
        <f>AVERAGE(E108:E113)</f>
        <v>289.21194857954652</v>
      </c>
      <c r="F115" s="279">
        <f>AVERAGE(F108:F113)</f>
        <v>96.403982859848838</v>
      </c>
    </row>
    <row r="116" spans="1:10" ht="27" customHeight="1" x14ac:dyDescent="0.45">
      <c r="A116" s="122" t="s">
        <v>103</v>
      </c>
      <c r="B116" s="154">
        <f>(B115/B114)*(B113/B112)*(B111/B110)*(B109/B108)*B107</f>
        <v>1000</v>
      </c>
      <c r="C116" s="232"/>
      <c r="D116" s="256" t="s">
        <v>84</v>
      </c>
      <c r="E116" s="254">
        <f>STDEV(E108:E113)/E115</f>
        <v>2.1675540234771112E-3</v>
      </c>
      <c r="F116" s="233">
        <f>STDEV(F108:F113)/F115</f>
        <v>2.1675540234771182E-3</v>
      </c>
      <c r="I116" s="96"/>
    </row>
    <row r="117" spans="1:10" ht="27" customHeight="1" x14ac:dyDescent="0.45">
      <c r="A117" s="504" t="s">
        <v>78</v>
      </c>
      <c r="B117" s="505"/>
      <c r="C117" s="234"/>
      <c r="D117" s="193" t="s">
        <v>20</v>
      </c>
      <c r="E117" s="259">
        <f>COUNT(E108:E113)</f>
        <v>6</v>
      </c>
      <c r="F117" s="260">
        <f>COUNT(F108:F113)</f>
        <v>6</v>
      </c>
      <c r="I117" s="96"/>
      <c r="J117" s="227"/>
    </row>
    <row r="118" spans="1:10" ht="26.25" customHeight="1" x14ac:dyDescent="0.35">
      <c r="A118" s="506"/>
      <c r="B118" s="507"/>
      <c r="C118" s="96"/>
      <c r="D118" s="258"/>
      <c r="E118" s="484" t="s">
        <v>123</v>
      </c>
      <c r="F118" s="485"/>
      <c r="G118" s="96"/>
      <c r="H118" s="96"/>
      <c r="I118" s="96"/>
    </row>
    <row r="119" spans="1:10" ht="25.5" customHeight="1" x14ac:dyDescent="0.45">
      <c r="A119" s="243"/>
      <c r="B119" s="118"/>
      <c r="C119" s="96"/>
      <c r="D119" s="256" t="s">
        <v>124</v>
      </c>
      <c r="E119" s="261">
        <f>MIN(E108:E113)</f>
        <v>288.37143190933398</v>
      </c>
      <c r="F119" s="280">
        <f>MIN(F108:F113)</f>
        <v>96.123810636444659</v>
      </c>
      <c r="G119" s="96"/>
      <c r="H119" s="96"/>
      <c r="I119" s="96"/>
    </row>
    <row r="120" spans="1:10" ht="24" customHeight="1" x14ac:dyDescent="0.45">
      <c r="A120" s="243"/>
      <c r="B120" s="118"/>
      <c r="C120" s="96"/>
      <c r="D120" s="165" t="s">
        <v>125</v>
      </c>
      <c r="E120" s="262">
        <f>MAX(E108:E113)</f>
        <v>289.94057092336442</v>
      </c>
      <c r="F120" s="281">
        <f>MAX(F108:F113)</f>
        <v>96.646856974454806</v>
      </c>
      <c r="G120" s="96"/>
      <c r="H120" s="96"/>
      <c r="I120" s="96"/>
    </row>
    <row r="121" spans="1:10" ht="27" customHeight="1" x14ac:dyDescent="0.35">
      <c r="A121" s="243"/>
      <c r="B121" s="118"/>
      <c r="C121" s="96"/>
      <c r="D121" s="96"/>
      <c r="E121" s="96"/>
      <c r="F121" s="189"/>
      <c r="G121" s="96"/>
      <c r="H121" s="96"/>
      <c r="I121" s="96"/>
    </row>
    <row r="122" spans="1:10" ht="25.5" customHeight="1" x14ac:dyDescent="0.35">
      <c r="A122" s="243"/>
      <c r="B122" s="118"/>
      <c r="C122" s="96"/>
      <c r="D122" s="96"/>
      <c r="E122" s="96"/>
      <c r="F122" s="189"/>
      <c r="G122" s="96"/>
      <c r="H122" s="96"/>
      <c r="I122" s="96"/>
    </row>
    <row r="123" spans="1:10" ht="18" x14ac:dyDescent="0.35">
      <c r="A123" s="243"/>
      <c r="B123" s="118"/>
      <c r="C123" s="96"/>
      <c r="D123" s="96"/>
      <c r="E123" s="96"/>
      <c r="F123" s="189"/>
      <c r="G123" s="96"/>
      <c r="H123" s="96"/>
      <c r="I123" s="96"/>
    </row>
    <row r="124" spans="1:10" ht="45.75" customHeight="1" x14ac:dyDescent="0.85">
      <c r="A124" s="106" t="s">
        <v>106</v>
      </c>
      <c r="B124" s="195" t="s">
        <v>126</v>
      </c>
      <c r="C124" s="516" t="str">
        <f>B26</f>
        <v>Lamivudine</v>
      </c>
      <c r="D124" s="516"/>
      <c r="E124" s="196" t="s">
        <v>127</v>
      </c>
      <c r="F124" s="196"/>
      <c r="G124" s="282">
        <f>F115</f>
        <v>96.403982859848838</v>
      </c>
      <c r="H124" s="96"/>
      <c r="I124" s="96"/>
    </row>
    <row r="125" spans="1:10" ht="45.75" customHeight="1" x14ac:dyDescent="0.85">
      <c r="A125" s="106"/>
      <c r="B125" s="195" t="s">
        <v>128</v>
      </c>
      <c r="C125" s="107" t="s">
        <v>129</v>
      </c>
      <c r="D125" s="282">
        <f>MIN(F108:F113)</f>
        <v>96.123810636444659</v>
      </c>
      <c r="E125" s="207" t="s">
        <v>130</v>
      </c>
      <c r="F125" s="282">
        <f>MAX(F108:F113)</f>
        <v>96.646856974454806</v>
      </c>
      <c r="G125" s="197"/>
      <c r="H125" s="96"/>
      <c r="I125" s="96"/>
    </row>
    <row r="126" spans="1:10" ht="19.5" customHeight="1" x14ac:dyDescent="0.35">
      <c r="A126" s="235"/>
      <c r="B126" s="235"/>
      <c r="C126" s="236"/>
      <c r="D126" s="236"/>
      <c r="E126" s="236"/>
      <c r="F126" s="236"/>
      <c r="G126" s="236"/>
      <c r="H126" s="236"/>
    </row>
    <row r="127" spans="1:10" ht="18" x14ac:dyDescent="0.35">
      <c r="B127" s="517" t="s">
        <v>26</v>
      </c>
      <c r="C127" s="517"/>
      <c r="E127" s="202" t="s">
        <v>27</v>
      </c>
      <c r="F127" s="237"/>
      <c r="G127" s="517" t="s">
        <v>28</v>
      </c>
      <c r="H127" s="517"/>
    </row>
    <row r="128" spans="1:10" ht="69.900000000000006" customHeight="1" x14ac:dyDescent="0.35">
      <c r="A128" s="238" t="s">
        <v>29</v>
      </c>
      <c r="B128" s="239"/>
      <c r="C128" s="239"/>
      <c r="E128" s="239"/>
      <c r="F128" s="96"/>
      <c r="G128" s="240"/>
      <c r="H128" s="240"/>
    </row>
    <row r="129" spans="1:9" ht="69.900000000000006" customHeight="1" x14ac:dyDescent="0.35">
      <c r="A129" s="238" t="s">
        <v>30</v>
      </c>
      <c r="B129" s="241"/>
      <c r="C129" s="241"/>
      <c r="E129" s="241"/>
      <c r="F129" s="96"/>
      <c r="G129" s="242"/>
      <c r="H129" s="242"/>
    </row>
    <row r="130" spans="1:9" ht="18" x14ac:dyDescent="0.35">
      <c r="A130" s="188"/>
      <c r="B130" s="188"/>
      <c r="C130" s="189"/>
      <c r="D130" s="189"/>
      <c r="E130" s="189"/>
      <c r="F130" s="192"/>
      <c r="G130" s="189"/>
      <c r="H130" s="189"/>
      <c r="I130" s="96"/>
    </row>
    <row r="131" spans="1:9" ht="18" x14ac:dyDescent="0.35">
      <c r="A131" s="188"/>
      <c r="B131" s="188"/>
      <c r="C131" s="189"/>
      <c r="D131" s="189"/>
      <c r="E131" s="189"/>
      <c r="F131" s="192"/>
      <c r="G131" s="189"/>
      <c r="H131" s="189"/>
      <c r="I131" s="96"/>
    </row>
    <row r="132" spans="1:9" ht="18" x14ac:dyDescent="0.35">
      <c r="A132" s="188"/>
      <c r="B132" s="188"/>
      <c r="C132" s="189"/>
      <c r="D132" s="189"/>
      <c r="E132" s="189"/>
      <c r="F132" s="192"/>
      <c r="G132" s="189"/>
      <c r="H132" s="189"/>
      <c r="I132" s="96"/>
    </row>
    <row r="133" spans="1:9" ht="18" x14ac:dyDescent="0.35">
      <c r="A133" s="188"/>
      <c r="B133" s="188"/>
      <c r="C133" s="189"/>
      <c r="D133" s="189"/>
      <c r="E133" s="189"/>
      <c r="F133" s="192"/>
      <c r="G133" s="189"/>
      <c r="H133" s="189"/>
      <c r="I133" s="96"/>
    </row>
    <row r="134" spans="1:9" ht="18" x14ac:dyDescent="0.35">
      <c r="A134" s="188"/>
      <c r="B134" s="188"/>
      <c r="C134" s="189"/>
      <c r="D134" s="189"/>
      <c r="E134" s="189"/>
      <c r="F134" s="192"/>
      <c r="G134" s="189"/>
      <c r="H134" s="189"/>
      <c r="I134" s="96"/>
    </row>
    <row r="135" spans="1:9" ht="18" x14ac:dyDescent="0.35">
      <c r="A135" s="188"/>
      <c r="B135" s="188"/>
      <c r="C135" s="189"/>
      <c r="D135" s="189"/>
      <c r="E135" s="189"/>
      <c r="F135" s="192"/>
      <c r="G135" s="189"/>
      <c r="H135" s="189"/>
      <c r="I135" s="96"/>
    </row>
    <row r="136" spans="1:9" ht="18" x14ac:dyDescent="0.35">
      <c r="A136" s="188"/>
      <c r="B136" s="188"/>
      <c r="C136" s="189"/>
      <c r="D136" s="189"/>
      <c r="E136" s="189"/>
      <c r="F136" s="192"/>
      <c r="G136" s="189"/>
      <c r="H136" s="189"/>
      <c r="I136" s="96"/>
    </row>
    <row r="137" spans="1:9" ht="18" x14ac:dyDescent="0.35">
      <c r="A137" s="188"/>
      <c r="B137" s="188"/>
      <c r="C137" s="189"/>
      <c r="D137" s="189"/>
      <c r="E137" s="189"/>
      <c r="F137" s="192"/>
      <c r="G137" s="189"/>
      <c r="H137" s="189"/>
      <c r="I137" s="96"/>
    </row>
    <row r="138" spans="1:9" ht="18" x14ac:dyDescent="0.35">
      <c r="A138" s="188"/>
      <c r="B138" s="188"/>
      <c r="C138" s="189"/>
      <c r="D138" s="189"/>
      <c r="E138" s="189"/>
      <c r="F138" s="192"/>
      <c r="G138" s="189"/>
      <c r="H138" s="189"/>
      <c r="I138" s="96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C106" zoomScale="80" zoomScaleNormal="60" zoomScaleSheetLayoutView="80" zoomScalePageLayoutView="55" workbookViewId="0">
      <selection activeCell="D113" sqref="D11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5.7773437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14" t="s">
        <v>45</v>
      </c>
      <c r="B1" s="514"/>
      <c r="C1" s="514"/>
      <c r="D1" s="514"/>
      <c r="E1" s="514"/>
      <c r="F1" s="514"/>
      <c r="G1" s="514"/>
      <c r="H1" s="514"/>
      <c r="I1" s="514"/>
    </row>
    <row r="2" spans="1:9" ht="18.75" customHeight="1" x14ac:dyDescent="0.3">
      <c r="A2" s="514"/>
      <c r="B2" s="514"/>
      <c r="C2" s="514"/>
      <c r="D2" s="514"/>
      <c r="E2" s="514"/>
      <c r="F2" s="514"/>
      <c r="G2" s="514"/>
      <c r="H2" s="514"/>
      <c r="I2" s="514"/>
    </row>
    <row r="3" spans="1:9" ht="18.75" customHeight="1" x14ac:dyDescent="0.3">
      <c r="A3" s="514"/>
      <c r="B3" s="514"/>
      <c r="C3" s="514"/>
      <c r="D3" s="514"/>
      <c r="E3" s="514"/>
      <c r="F3" s="514"/>
      <c r="G3" s="514"/>
      <c r="H3" s="514"/>
      <c r="I3" s="514"/>
    </row>
    <row r="4" spans="1:9" ht="18.75" customHeight="1" x14ac:dyDescent="0.3">
      <c r="A4" s="514"/>
      <c r="B4" s="514"/>
      <c r="C4" s="514"/>
      <c r="D4" s="514"/>
      <c r="E4" s="514"/>
      <c r="F4" s="514"/>
      <c r="G4" s="514"/>
      <c r="H4" s="514"/>
      <c r="I4" s="514"/>
    </row>
    <row r="5" spans="1:9" ht="18.75" customHeight="1" x14ac:dyDescent="0.3">
      <c r="A5" s="514"/>
      <c r="B5" s="514"/>
      <c r="C5" s="514"/>
      <c r="D5" s="514"/>
      <c r="E5" s="514"/>
      <c r="F5" s="514"/>
      <c r="G5" s="514"/>
      <c r="H5" s="514"/>
      <c r="I5" s="514"/>
    </row>
    <row r="6" spans="1:9" ht="18.75" customHeight="1" x14ac:dyDescent="0.3">
      <c r="A6" s="514"/>
      <c r="B6" s="514"/>
      <c r="C6" s="514"/>
      <c r="D6" s="514"/>
      <c r="E6" s="514"/>
      <c r="F6" s="514"/>
      <c r="G6" s="514"/>
      <c r="H6" s="514"/>
      <c r="I6" s="514"/>
    </row>
    <row r="7" spans="1:9" ht="18.75" customHeight="1" x14ac:dyDescent="0.3">
      <c r="A7" s="514"/>
      <c r="B7" s="514"/>
      <c r="C7" s="514"/>
      <c r="D7" s="514"/>
      <c r="E7" s="514"/>
      <c r="F7" s="514"/>
      <c r="G7" s="514"/>
      <c r="H7" s="514"/>
      <c r="I7" s="514"/>
    </row>
    <row r="8" spans="1:9" x14ac:dyDescent="0.3">
      <c r="A8" s="515" t="s">
        <v>46</v>
      </c>
      <c r="B8" s="515"/>
      <c r="C8" s="515"/>
      <c r="D8" s="515"/>
      <c r="E8" s="515"/>
      <c r="F8" s="515"/>
      <c r="G8" s="515"/>
      <c r="H8" s="515"/>
      <c r="I8" s="515"/>
    </row>
    <row r="9" spans="1:9" x14ac:dyDescent="0.3">
      <c r="A9" s="515"/>
      <c r="B9" s="515"/>
      <c r="C9" s="515"/>
      <c r="D9" s="515"/>
      <c r="E9" s="515"/>
      <c r="F9" s="515"/>
      <c r="G9" s="515"/>
      <c r="H9" s="515"/>
      <c r="I9" s="515"/>
    </row>
    <row r="10" spans="1:9" x14ac:dyDescent="0.3">
      <c r="A10" s="515"/>
      <c r="B10" s="515"/>
      <c r="C10" s="515"/>
      <c r="D10" s="515"/>
      <c r="E10" s="515"/>
      <c r="F10" s="515"/>
      <c r="G10" s="515"/>
      <c r="H10" s="515"/>
      <c r="I10" s="515"/>
    </row>
    <row r="11" spans="1:9" x14ac:dyDescent="0.3">
      <c r="A11" s="515"/>
      <c r="B11" s="515"/>
      <c r="C11" s="515"/>
      <c r="D11" s="515"/>
      <c r="E11" s="515"/>
      <c r="F11" s="515"/>
      <c r="G11" s="515"/>
      <c r="H11" s="515"/>
      <c r="I11" s="515"/>
    </row>
    <row r="12" spans="1:9" x14ac:dyDescent="0.3">
      <c r="A12" s="515"/>
      <c r="B12" s="515"/>
      <c r="C12" s="515"/>
      <c r="D12" s="515"/>
      <c r="E12" s="515"/>
      <c r="F12" s="515"/>
      <c r="G12" s="515"/>
      <c r="H12" s="515"/>
      <c r="I12" s="515"/>
    </row>
    <row r="13" spans="1:9" x14ac:dyDescent="0.3">
      <c r="A13" s="515"/>
      <c r="B13" s="515"/>
      <c r="C13" s="515"/>
      <c r="D13" s="515"/>
      <c r="E13" s="515"/>
      <c r="F13" s="515"/>
      <c r="G13" s="515"/>
      <c r="H13" s="515"/>
      <c r="I13" s="515"/>
    </row>
    <row r="14" spans="1:9" x14ac:dyDescent="0.3">
      <c r="A14" s="515"/>
      <c r="B14" s="515"/>
      <c r="C14" s="515"/>
      <c r="D14" s="515"/>
      <c r="E14" s="515"/>
      <c r="F14" s="515"/>
      <c r="G14" s="515"/>
      <c r="H14" s="515"/>
      <c r="I14" s="515"/>
    </row>
    <row r="15" spans="1:9" ht="19.5" customHeight="1" x14ac:dyDescent="0.35">
      <c r="A15" s="283"/>
    </row>
    <row r="16" spans="1:9" ht="19.5" customHeight="1" x14ac:dyDescent="0.35">
      <c r="A16" s="487" t="s">
        <v>31</v>
      </c>
      <c r="B16" s="488"/>
      <c r="C16" s="488"/>
      <c r="D16" s="488"/>
      <c r="E16" s="488"/>
      <c r="F16" s="488"/>
      <c r="G16" s="488"/>
      <c r="H16" s="489"/>
    </row>
    <row r="17" spans="1:14" ht="20.25" customHeight="1" x14ac:dyDescent="0.3">
      <c r="A17" s="490" t="s">
        <v>47</v>
      </c>
      <c r="B17" s="490"/>
      <c r="C17" s="490"/>
      <c r="D17" s="490"/>
      <c r="E17" s="490"/>
      <c r="F17" s="490"/>
      <c r="G17" s="490"/>
      <c r="H17" s="490"/>
    </row>
    <row r="18" spans="1:14" ht="26.25" customHeight="1" x14ac:dyDescent="0.5">
      <c r="A18" s="285" t="s">
        <v>33</v>
      </c>
      <c r="B18" s="486" t="s">
        <v>138</v>
      </c>
      <c r="C18" s="486"/>
      <c r="D18" s="428"/>
      <c r="E18" s="286"/>
      <c r="F18" s="287"/>
      <c r="G18" s="287"/>
      <c r="H18" s="287"/>
    </row>
    <row r="19" spans="1:14" ht="26.25" customHeight="1" x14ac:dyDescent="0.5">
      <c r="A19" s="285" t="s">
        <v>34</v>
      </c>
      <c r="B19" s="288" t="s">
        <v>140</v>
      </c>
      <c r="C19" s="437">
        <v>1</v>
      </c>
      <c r="D19" s="287"/>
      <c r="E19" s="287"/>
      <c r="F19" s="287"/>
      <c r="G19" s="287"/>
      <c r="H19" s="287"/>
    </row>
    <row r="20" spans="1:14" ht="26.25" customHeight="1" x14ac:dyDescent="0.5">
      <c r="A20" s="285" t="s">
        <v>35</v>
      </c>
      <c r="B20" s="491" t="str">
        <f>Lamivudine!B20</f>
        <v>Tenofovir Disoproxil Fumarate &amp; Lamivudine</v>
      </c>
      <c r="C20" s="491"/>
      <c r="D20" s="287"/>
      <c r="E20" s="287"/>
      <c r="F20" s="287"/>
      <c r="G20" s="287"/>
      <c r="H20" s="287"/>
    </row>
    <row r="21" spans="1:14" ht="26.25" customHeight="1" x14ac:dyDescent="0.5">
      <c r="A21" s="285" t="s">
        <v>36</v>
      </c>
      <c r="B21" s="492" t="str">
        <f>Lamivudine!B21</f>
        <v>Each film coated tablet contains Tenofovir Disoproxil Fumarate 300 mg and Lamivudine USP 300 mg</v>
      </c>
      <c r="C21" s="492"/>
      <c r="D21" s="492"/>
      <c r="E21" s="492"/>
      <c r="F21" s="492"/>
      <c r="G21" s="492"/>
      <c r="H21" s="492"/>
      <c r="I21" s="289"/>
    </row>
    <row r="22" spans="1:14" ht="26.25" customHeight="1" x14ac:dyDescent="0.5">
      <c r="A22" s="285" t="s">
        <v>37</v>
      </c>
      <c r="B22" s="290">
        <f>Lamivudine!B22</f>
        <v>42655</v>
      </c>
      <c r="C22" s="287"/>
      <c r="D22" s="287"/>
      <c r="E22" s="287"/>
      <c r="F22" s="287"/>
      <c r="G22" s="287"/>
      <c r="H22" s="287"/>
    </row>
    <row r="23" spans="1:14" ht="26.25" customHeight="1" x14ac:dyDescent="0.5">
      <c r="A23" s="285" t="s">
        <v>38</v>
      </c>
      <c r="B23" s="290">
        <f>Lamivudine!B23</f>
        <v>42689</v>
      </c>
      <c r="C23" s="287"/>
      <c r="D23" s="287"/>
      <c r="E23" s="287"/>
      <c r="F23" s="287"/>
      <c r="G23" s="287"/>
      <c r="H23" s="287"/>
    </row>
    <row r="24" spans="1:14" ht="18" x14ac:dyDescent="0.35">
      <c r="A24" s="285"/>
      <c r="B24" s="291"/>
    </row>
    <row r="25" spans="1:14" ht="18" x14ac:dyDescent="0.35">
      <c r="A25" s="292" t="s">
        <v>1</v>
      </c>
      <c r="B25" s="291"/>
    </row>
    <row r="26" spans="1:14" ht="26.25" customHeight="1" x14ac:dyDescent="0.45">
      <c r="A26" s="293" t="s">
        <v>4</v>
      </c>
      <c r="B26" s="486" t="s">
        <v>133</v>
      </c>
      <c r="C26" s="486"/>
    </row>
    <row r="27" spans="1:14" ht="26.25" customHeight="1" x14ac:dyDescent="0.5">
      <c r="A27" s="294" t="s">
        <v>48</v>
      </c>
      <c r="B27" s="491" t="s">
        <v>134</v>
      </c>
      <c r="C27" s="491"/>
    </row>
    <row r="28" spans="1:14" ht="27" customHeight="1" x14ac:dyDescent="0.45">
      <c r="A28" s="294" t="s">
        <v>6</v>
      </c>
      <c r="B28" s="295">
        <v>98.8</v>
      </c>
    </row>
    <row r="29" spans="1:14" s="13" customFormat="1" ht="27" customHeight="1" x14ac:dyDescent="0.5">
      <c r="A29" s="294" t="s">
        <v>49</v>
      </c>
      <c r="B29" s="296">
        <v>0</v>
      </c>
      <c r="C29" s="493" t="s">
        <v>50</v>
      </c>
      <c r="D29" s="494"/>
      <c r="E29" s="494"/>
      <c r="F29" s="494"/>
      <c r="G29" s="495"/>
      <c r="I29" s="297"/>
      <c r="J29" s="297"/>
      <c r="K29" s="297"/>
      <c r="L29" s="297"/>
    </row>
    <row r="30" spans="1:14" s="13" customFormat="1" ht="19.5" customHeight="1" x14ac:dyDescent="0.35">
      <c r="A30" s="294" t="s">
        <v>51</v>
      </c>
      <c r="B30" s="298">
        <f>B28-B29</f>
        <v>98.8</v>
      </c>
      <c r="C30" s="299"/>
      <c r="D30" s="299"/>
      <c r="E30" s="299"/>
      <c r="F30" s="299"/>
      <c r="G30" s="300"/>
      <c r="I30" s="297"/>
      <c r="J30" s="297"/>
      <c r="K30" s="297"/>
      <c r="L30" s="297"/>
    </row>
    <row r="31" spans="1:14" s="13" customFormat="1" ht="27" customHeight="1" x14ac:dyDescent="0.45">
      <c r="A31" s="294" t="s">
        <v>52</v>
      </c>
      <c r="B31" s="301">
        <v>1</v>
      </c>
      <c r="C31" s="496" t="s">
        <v>53</v>
      </c>
      <c r="D31" s="497"/>
      <c r="E31" s="497"/>
      <c r="F31" s="497"/>
      <c r="G31" s="497"/>
      <c r="H31" s="498"/>
      <c r="I31" s="297"/>
      <c r="J31" s="297"/>
      <c r="K31" s="297"/>
      <c r="L31" s="297"/>
    </row>
    <row r="32" spans="1:14" s="13" customFormat="1" ht="27" customHeight="1" x14ac:dyDescent="0.45">
      <c r="A32" s="294" t="s">
        <v>54</v>
      </c>
      <c r="B32" s="301">
        <v>1</v>
      </c>
      <c r="C32" s="496" t="s">
        <v>55</v>
      </c>
      <c r="D32" s="497"/>
      <c r="E32" s="497"/>
      <c r="F32" s="497"/>
      <c r="G32" s="497"/>
      <c r="H32" s="498"/>
      <c r="I32" s="297"/>
      <c r="J32" s="297"/>
      <c r="K32" s="297"/>
      <c r="L32" s="302"/>
      <c r="M32" s="302"/>
      <c r="N32" s="303"/>
    </row>
    <row r="33" spans="1:14" s="13" customFormat="1" ht="17.25" customHeight="1" x14ac:dyDescent="0.35">
      <c r="A33" s="294"/>
      <c r="B33" s="304"/>
      <c r="C33" s="305"/>
      <c r="D33" s="305"/>
      <c r="E33" s="305"/>
      <c r="F33" s="305"/>
      <c r="G33" s="305"/>
      <c r="H33" s="305"/>
      <c r="I33" s="297"/>
      <c r="J33" s="297"/>
      <c r="K33" s="297"/>
      <c r="L33" s="302"/>
      <c r="M33" s="302"/>
      <c r="N33" s="303"/>
    </row>
    <row r="34" spans="1:14" s="13" customFormat="1" ht="18" x14ac:dyDescent="0.35">
      <c r="A34" s="294" t="s">
        <v>56</v>
      </c>
      <c r="B34" s="306">
        <f>B31/B32</f>
        <v>1</v>
      </c>
      <c r="C34" s="284" t="s">
        <v>57</v>
      </c>
      <c r="D34" s="284"/>
      <c r="E34" s="284"/>
      <c r="F34" s="284"/>
      <c r="G34" s="284"/>
      <c r="I34" s="297"/>
      <c r="J34" s="297"/>
      <c r="K34" s="297"/>
      <c r="L34" s="302"/>
      <c r="M34" s="302"/>
      <c r="N34" s="303"/>
    </row>
    <row r="35" spans="1:14" s="13" customFormat="1" ht="19.5" customHeight="1" x14ac:dyDescent="0.35">
      <c r="A35" s="294"/>
      <c r="B35" s="298"/>
      <c r="G35" s="284"/>
      <c r="I35" s="297"/>
      <c r="J35" s="297"/>
      <c r="K35" s="297"/>
      <c r="L35" s="302"/>
      <c r="M35" s="302"/>
      <c r="N35" s="303"/>
    </row>
    <row r="36" spans="1:14" s="13" customFormat="1" ht="27" customHeight="1" x14ac:dyDescent="0.45">
      <c r="A36" s="307" t="s">
        <v>58</v>
      </c>
      <c r="B36" s="464">
        <v>50</v>
      </c>
      <c r="C36" s="284"/>
      <c r="D36" s="499" t="s">
        <v>59</v>
      </c>
      <c r="E36" s="500"/>
      <c r="F36" s="499" t="s">
        <v>60</v>
      </c>
      <c r="G36" s="501"/>
      <c r="J36" s="297"/>
      <c r="K36" s="297"/>
      <c r="L36" s="302"/>
      <c r="M36" s="302"/>
      <c r="N36" s="303"/>
    </row>
    <row r="37" spans="1:14" s="13" customFormat="1" ht="27" customHeight="1" x14ac:dyDescent="0.45">
      <c r="A37" s="309" t="s">
        <v>61</v>
      </c>
      <c r="B37" s="465">
        <v>10</v>
      </c>
      <c r="C37" s="311" t="s">
        <v>62</v>
      </c>
      <c r="D37" s="312" t="s">
        <v>63</v>
      </c>
      <c r="E37" s="313" t="s">
        <v>64</v>
      </c>
      <c r="F37" s="312" t="s">
        <v>63</v>
      </c>
      <c r="G37" s="314" t="s">
        <v>64</v>
      </c>
      <c r="I37" s="315" t="s">
        <v>65</v>
      </c>
      <c r="J37" s="297"/>
      <c r="K37" s="297"/>
      <c r="L37" s="302"/>
      <c r="M37" s="302"/>
      <c r="N37" s="303"/>
    </row>
    <row r="38" spans="1:14" s="13" customFormat="1" ht="26.25" customHeight="1" x14ac:dyDescent="0.45">
      <c r="A38" s="309" t="s">
        <v>66</v>
      </c>
      <c r="B38" s="465">
        <v>25</v>
      </c>
      <c r="C38" s="316">
        <v>1</v>
      </c>
      <c r="D38" s="466">
        <v>25788256</v>
      </c>
      <c r="E38" s="318">
        <f>IF(ISBLANK(D38),"-",$D$48/$D$45*D38)</f>
        <v>28207644.471409071</v>
      </c>
      <c r="F38" s="466">
        <v>27013314</v>
      </c>
      <c r="G38" s="319">
        <f>IF(ISBLANK(F38),"-",$D$48/$F$45*F38)</f>
        <v>28740095.582873952</v>
      </c>
      <c r="I38" s="320"/>
      <c r="J38" s="297"/>
      <c r="K38" s="297"/>
      <c r="L38" s="302"/>
      <c r="M38" s="302"/>
      <c r="N38" s="303"/>
    </row>
    <row r="39" spans="1:14" s="13" customFormat="1" ht="26.25" customHeight="1" x14ac:dyDescent="0.45">
      <c r="A39" s="309" t="s">
        <v>67</v>
      </c>
      <c r="B39" s="465">
        <v>1</v>
      </c>
      <c r="C39" s="321">
        <v>2</v>
      </c>
      <c r="D39" s="467">
        <v>25769917</v>
      </c>
      <c r="E39" s="323">
        <f>IF(ISBLANK(D39),"-",$D$48/$D$45*D39)</f>
        <v>28187584.953155447</v>
      </c>
      <c r="F39" s="467">
        <v>27138977</v>
      </c>
      <c r="G39" s="324">
        <f>IF(ISBLANK(F39),"-",$D$48/$F$45*F39)</f>
        <v>28873791.383071985</v>
      </c>
      <c r="I39" s="503">
        <f>ABS((F43/D43*D42)-F42)/D42</f>
        <v>2.2672252570891876E-2</v>
      </c>
      <c r="J39" s="297"/>
      <c r="K39" s="297"/>
      <c r="L39" s="302"/>
      <c r="M39" s="302"/>
      <c r="N39" s="303"/>
    </row>
    <row r="40" spans="1:14" ht="26.25" customHeight="1" x14ac:dyDescent="0.45">
      <c r="A40" s="309" t="s">
        <v>68</v>
      </c>
      <c r="B40" s="310">
        <v>1</v>
      </c>
      <c r="C40" s="321">
        <v>3</v>
      </c>
      <c r="D40" s="467">
        <v>25777612</v>
      </c>
      <c r="E40" s="323">
        <f>IF(ISBLANK(D40),"-",$D$48/$D$45*D40)</f>
        <v>28196001.878449172</v>
      </c>
      <c r="F40" s="467">
        <v>27109850</v>
      </c>
      <c r="G40" s="324">
        <f>IF(ISBLANK(F40),"-",$D$48/$F$45*F40)</f>
        <v>28842802.487594649</v>
      </c>
      <c r="I40" s="503"/>
      <c r="L40" s="302"/>
      <c r="M40" s="302"/>
      <c r="N40" s="325"/>
    </row>
    <row r="41" spans="1:14" ht="27" customHeight="1" x14ac:dyDescent="0.45">
      <c r="A41" s="309" t="s">
        <v>69</v>
      </c>
      <c r="B41" s="310">
        <v>1</v>
      </c>
      <c r="C41" s="326">
        <v>4</v>
      </c>
      <c r="D41" s="468"/>
      <c r="E41" s="328" t="str">
        <f>IF(ISBLANK(D41),"-",$D$48/$D$45*D41)</f>
        <v>-</v>
      </c>
      <c r="F41" s="468"/>
      <c r="G41" s="329" t="str">
        <f>IF(ISBLANK(F41),"-",$D$48/$F$45*F41)</f>
        <v>-</v>
      </c>
      <c r="I41" s="330"/>
      <c r="L41" s="302"/>
      <c r="M41" s="302"/>
      <c r="N41" s="325"/>
    </row>
    <row r="42" spans="1:14" ht="27" customHeight="1" x14ac:dyDescent="0.45">
      <c r="A42" s="309" t="s">
        <v>70</v>
      </c>
      <c r="B42" s="310">
        <v>1</v>
      </c>
      <c r="C42" s="331" t="s">
        <v>71</v>
      </c>
      <c r="D42" s="332">
        <f>AVERAGE(D38:D41)</f>
        <v>25778595</v>
      </c>
      <c r="E42" s="333">
        <f>AVERAGE(E38:E41)</f>
        <v>28197077.10100456</v>
      </c>
      <c r="F42" s="332">
        <f>AVERAGE(F38:F41)</f>
        <v>27087380.333333332</v>
      </c>
      <c r="G42" s="334">
        <f>AVERAGE(G38:G41)</f>
        <v>28818896.484513532</v>
      </c>
      <c r="H42" s="335"/>
    </row>
    <row r="43" spans="1:14" ht="26.25" customHeight="1" x14ac:dyDescent="0.45">
      <c r="A43" s="309" t="s">
        <v>72</v>
      </c>
      <c r="B43" s="310">
        <v>1</v>
      </c>
      <c r="C43" s="336" t="s">
        <v>73</v>
      </c>
      <c r="D43" s="337">
        <v>13.88</v>
      </c>
      <c r="E43" s="325"/>
      <c r="F43" s="337">
        <v>14.27</v>
      </c>
      <c r="H43" s="335"/>
    </row>
    <row r="44" spans="1:14" ht="26.25" customHeight="1" x14ac:dyDescent="0.45">
      <c r="A44" s="309" t="s">
        <v>74</v>
      </c>
      <c r="B44" s="310">
        <v>1</v>
      </c>
      <c r="C44" s="338" t="s">
        <v>75</v>
      </c>
      <c r="D44" s="339">
        <f>D43*$B$34</f>
        <v>13.88</v>
      </c>
      <c r="E44" s="340"/>
      <c r="F44" s="339">
        <f>F43*$B$34</f>
        <v>14.27</v>
      </c>
      <c r="H44" s="335"/>
    </row>
    <row r="45" spans="1:14" ht="19.5" customHeight="1" x14ac:dyDescent="0.35">
      <c r="A45" s="309" t="s">
        <v>76</v>
      </c>
      <c r="B45" s="341">
        <f>(B44/B43)*(B42/B41)*(B40/B39)*(B38/B37)*B36</f>
        <v>125</v>
      </c>
      <c r="C45" s="338" t="s">
        <v>77</v>
      </c>
      <c r="D45" s="342">
        <f>D44*$B$30/100</f>
        <v>13.71344</v>
      </c>
      <c r="E45" s="343"/>
      <c r="F45" s="342">
        <f>F44*$B$30/100</f>
        <v>14.09876</v>
      </c>
      <c r="H45" s="335"/>
    </row>
    <row r="46" spans="1:14" ht="19.5" customHeight="1" x14ac:dyDescent="0.35">
      <c r="A46" s="504" t="s">
        <v>78</v>
      </c>
      <c r="B46" s="505"/>
      <c r="C46" s="338" t="s">
        <v>79</v>
      </c>
      <c r="D46" s="344">
        <f>D45/$B$45</f>
        <v>0.10970752</v>
      </c>
      <c r="E46" s="345"/>
      <c r="F46" s="346">
        <f>F45/$B$45</f>
        <v>0.11279008</v>
      </c>
      <c r="H46" s="335"/>
    </row>
    <row r="47" spans="1:14" ht="27" customHeight="1" x14ac:dyDescent="0.45">
      <c r="A47" s="506"/>
      <c r="B47" s="507"/>
      <c r="C47" s="347" t="s">
        <v>80</v>
      </c>
      <c r="D47" s="348">
        <v>0.12</v>
      </c>
      <c r="E47" s="349"/>
      <c r="F47" s="345"/>
      <c r="H47" s="335"/>
    </row>
    <row r="48" spans="1:14" ht="18" x14ac:dyDescent="0.35">
      <c r="C48" s="350" t="s">
        <v>81</v>
      </c>
      <c r="D48" s="342">
        <f>D47*$B$45</f>
        <v>15</v>
      </c>
      <c r="F48" s="351"/>
      <c r="H48" s="335"/>
    </row>
    <row r="49" spans="1:12" ht="19.5" customHeight="1" x14ac:dyDescent="0.35">
      <c r="C49" s="352" t="s">
        <v>82</v>
      </c>
      <c r="D49" s="353">
        <f>D48/B34</f>
        <v>15</v>
      </c>
      <c r="F49" s="351"/>
      <c r="H49" s="335"/>
    </row>
    <row r="50" spans="1:12" ht="18" x14ac:dyDescent="0.35">
      <c r="C50" s="307" t="s">
        <v>83</v>
      </c>
      <c r="D50" s="354">
        <f>AVERAGE(E38:E41,G38:G41)</f>
        <v>28507986.792759042</v>
      </c>
      <c r="F50" s="355"/>
      <c r="H50" s="335"/>
    </row>
    <row r="51" spans="1:12" ht="18" x14ac:dyDescent="0.35">
      <c r="C51" s="309" t="s">
        <v>84</v>
      </c>
      <c r="D51" s="356">
        <f>STDEV(E38:E41,G38:G41)/D50</f>
        <v>1.2049512496220733E-2</v>
      </c>
      <c r="F51" s="355"/>
      <c r="H51" s="335"/>
    </row>
    <row r="52" spans="1:12" ht="19.5" customHeight="1" x14ac:dyDescent="0.35">
      <c r="C52" s="357" t="s">
        <v>20</v>
      </c>
      <c r="D52" s="358">
        <f>COUNT(E38:E41,G38:G41)</f>
        <v>6</v>
      </c>
      <c r="F52" s="355"/>
    </row>
    <row r="54" spans="1:12" ht="18" x14ac:dyDescent="0.35">
      <c r="A54" s="359" t="s">
        <v>1</v>
      </c>
      <c r="B54" s="360" t="s">
        <v>85</v>
      </c>
    </row>
    <row r="55" spans="1:12" ht="18" x14ac:dyDescent="0.35">
      <c r="A55" s="284" t="s">
        <v>86</v>
      </c>
      <c r="B55" s="361" t="str">
        <f>B21</f>
        <v>Each film coated tablet contains Tenofovir Disoproxil Fumarate 300 mg and Lamivudine USP 300 mg</v>
      </c>
    </row>
    <row r="56" spans="1:12" ht="26.25" customHeight="1" x14ac:dyDescent="0.45">
      <c r="A56" s="362" t="s">
        <v>87</v>
      </c>
      <c r="B56" s="363">
        <v>300</v>
      </c>
      <c r="C56" s="284" t="str">
        <f>B20</f>
        <v>Tenofovir Disoproxil Fumarate &amp; Lamivudine</v>
      </c>
      <c r="H56" s="364"/>
    </row>
    <row r="57" spans="1:12" ht="18" x14ac:dyDescent="0.35">
      <c r="A57" s="361" t="s">
        <v>88</v>
      </c>
      <c r="B57" s="429">
        <f>Lamivudine!B57</f>
        <v>862.26350000000025</v>
      </c>
      <c r="H57" s="364"/>
    </row>
    <row r="58" spans="1:12" ht="19.5" customHeight="1" x14ac:dyDescent="0.35">
      <c r="H58" s="364"/>
    </row>
    <row r="59" spans="1:12" s="13" customFormat="1" ht="27" customHeight="1" thickBot="1" x14ac:dyDescent="0.5">
      <c r="A59" s="307" t="s">
        <v>89</v>
      </c>
      <c r="B59" s="464">
        <v>200</v>
      </c>
      <c r="C59" s="284"/>
      <c r="D59" s="365" t="s">
        <v>90</v>
      </c>
      <c r="E59" s="366" t="s">
        <v>62</v>
      </c>
      <c r="F59" s="366" t="s">
        <v>63</v>
      </c>
      <c r="G59" s="366" t="s">
        <v>91</v>
      </c>
      <c r="H59" s="311" t="s">
        <v>92</v>
      </c>
      <c r="L59" s="297"/>
    </row>
    <row r="60" spans="1:12" s="13" customFormat="1" ht="26.25" customHeight="1" x14ac:dyDescent="0.45">
      <c r="A60" s="309" t="s">
        <v>93</v>
      </c>
      <c r="B60" s="465">
        <v>2</v>
      </c>
      <c r="C60" s="508" t="s">
        <v>94</v>
      </c>
      <c r="D60" s="511">
        <f>Lamivudine!D60</f>
        <v>875.14</v>
      </c>
      <c r="E60" s="367">
        <v>1</v>
      </c>
      <c r="F60" s="526">
        <v>29049437</v>
      </c>
      <c r="G60" s="430">
        <f>IF(ISBLANK(F60),"-",(F60/$D$50*$D$47*$B$68)*($B$57/$D$60))</f>
        <v>301.19994878149316</v>
      </c>
      <c r="H60" s="448">
        <f t="shared" ref="H60:H71" si="0">IF(ISBLANK(F60),"-",(G60/$B$56)*100)</f>
        <v>100.39998292716439</v>
      </c>
      <c r="L60" s="297"/>
    </row>
    <row r="61" spans="1:12" s="13" customFormat="1" ht="26.25" customHeight="1" x14ac:dyDescent="0.45">
      <c r="A61" s="309" t="s">
        <v>95</v>
      </c>
      <c r="B61" s="465">
        <v>25</v>
      </c>
      <c r="C61" s="509"/>
      <c r="D61" s="512"/>
      <c r="E61" s="368">
        <v>2</v>
      </c>
      <c r="F61" s="525">
        <v>29358242</v>
      </c>
      <c r="G61" s="431">
        <f>IF(ISBLANK(F61),"-",(F61/$D$50*$D$47*$B$68)*($B$57/$D$60))</f>
        <v>304.40180257932991</v>
      </c>
      <c r="H61" s="449">
        <f t="shared" si="0"/>
        <v>101.46726752644331</v>
      </c>
      <c r="L61" s="297"/>
    </row>
    <row r="62" spans="1:12" s="13" customFormat="1" ht="26.25" customHeight="1" x14ac:dyDescent="0.45">
      <c r="A62" s="309" t="s">
        <v>96</v>
      </c>
      <c r="B62" s="310">
        <v>1</v>
      </c>
      <c r="C62" s="509"/>
      <c r="D62" s="512"/>
      <c r="E62" s="368">
        <v>3</v>
      </c>
      <c r="F62" s="527">
        <v>28740289</v>
      </c>
      <c r="G62" s="431">
        <f>IF(ISBLANK(F62),"-",(F62/$D$50*$D$47*$B$68)*($B$57/$D$60))</f>
        <v>297.99453857798733</v>
      </c>
      <c r="H62" s="449">
        <f t="shared" si="0"/>
        <v>99.331512859329109</v>
      </c>
      <c r="L62" s="297"/>
    </row>
    <row r="63" spans="1:12" ht="27" customHeight="1" thickBot="1" x14ac:dyDescent="0.5">
      <c r="A63" s="309" t="s">
        <v>97</v>
      </c>
      <c r="B63" s="310">
        <v>1</v>
      </c>
      <c r="C63" s="510"/>
      <c r="D63" s="513"/>
      <c r="E63" s="369">
        <v>4</v>
      </c>
      <c r="F63" s="528"/>
      <c r="G63" s="431" t="str">
        <f>IF(ISBLANK(F63),"-",(F63/$D$50*$D$47*$B$68)*($B$57/$D$60))</f>
        <v>-</v>
      </c>
      <c r="H63" s="449" t="str">
        <f t="shared" si="0"/>
        <v>-</v>
      </c>
    </row>
    <row r="64" spans="1:12" ht="26.25" customHeight="1" x14ac:dyDescent="0.45">
      <c r="A64" s="309" t="s">
        <v>98</v>
      </c>
      <c r="B64" s="310">
        <v>1</v>
      </c>
      <c r="C64" s="508" t="s">
        <v>99</v>
      </c>
      <c r="D64" s="511">
        <f>Lamivudine!D64</f>
        <v>868.68</v>
      </c>
      <c r="E64" s="367">
        <v>1</v>
      </c>
      <c r="F64" s="526">
        <v>28349882</v>
      </c>
      <c r="G64" s="430">
        <f>IF(ISBLANK(F64),"-",(F64/$D$50*$D$47*$B$68)*($B$57/$D$64))</f>
        <v>296.13254655770527</v>
      </c>
      <c r="H64" s="448">
        <f t="shared" si="0"/>
        <v>98.710848852568418</v>
      </c>
    </row>
    <row r="65" spans="1:8" ht="26.25" customHeight="1" x14ac:dyDescent="0.45">
      <c r="A65" s="309" t="s">
        <v>100</v>
      </c>
      <c r="B65" s="310">
        <v>1</v>
      </c>
      <c r="C65" s="509"/>
      <c r="D65" s="512"/>
      <c r="E65" s="368">
        <v>2</v>
      </c>
      <c r="F65" s="525">
        <v>28484524</v>
      </c>
      <c r="G65" s="431">
        <f>IF(ISBLANK(F65),"-",(F65/$D$50*$D$47*$B$68)*($B$57/$D$64))</f>
        <v>297.53896787309634</v>
      </c>
      <c r="H65" s="449">
        <f t="shared" si="0"/>
        <v>99.17965595769877</v>
      </c>
    </row>
    <row r="66" spans="1:8" ht="26.25" customHeight="1" x14ac:dyDescent="0.45">
      <c r="A66" s="309" t="s">
        <v>101</v>
      </c>
      <c r="B66" s="310">
        <v>1</v>
      </c>
      <c r="C66" s="509"/>
      <c r="D66" s="512"/>
      <c r="E66" s="368">
        <v>3</v>
      </c>
      <c r="F66" s="525">
        <v>28474240</v>
      </c>
      <c r="G66" s="431">
        <f>IF(ISBLANK(F66),"-",(F66/$D$50*$D$47*$B$68)*($B$57/$D$64))</f>
        <v>297.43154495300092</v>
      </c>
      <c r="H66" s="449">
        <f t="shared" si="0"/>
        <v>99.143848317666965</v>
      </c>
    </row>
    <row r="67" spans="1:8" ht="27" customHeight="1" thickBot="1" x14ac:dyDescent="0.5">
      <c r="A67" s="309" t="s">
        <v>102</v>
      </c>
      <c r="B67" s="310">
        <v>1</v>
      </c>
      <c r="C67" s="510"/>
      <c r="D67" s="513"/>
      <c r="E67" s="369">
        <v>4</v>
      </c>
      <c r="F67" s="528"/>
      <c r="G67" s="447" t="str">
        <f>IF(ISBLANK(F67),"-",(F67/$D$50*$D$47*$B$68)*($B$57/$D$64))</f>
        <v>-</v>
      </c>
      <c r="H67" s="450" t="str">
        <f t="shared" si="0"/>
        <v>-</v>
      </c>
    </row>
    <row r="68" spans="1:8" ht="26.25" customHeight="1" x14ac:dyDescent="0.5">
      <c r="A68" s="309" t="s">
        <v>103</v>
      </c>
      <c r="B68" s="370">
        <f>(B67/B66)*(B65/B64)*(B63/B62)*(B61/B60)*B59</f>
        <v>2500</v>
      </c>
      <c r="C68" s="508" t="s">
        <v>104</v>
      </c>
      <c r="D68" s="511">
        <f>Lamivudine!D68</f>
        <v>876.57</v>
      </c>
      <c r="E68" s="367">
        <v>1</v>
      </c>
      <c r="F68" s="526">
        <v>28843839</v>
      </c>
      <c r="G68" s="430">
        <f>IF(ISBLANK(F68),"-",(F68/$D$50*$D$47*$B$68)*($B$57/$D$68))</f>
        <v>298.58031234596183</v>
      </c>
      <c r="H68" s="449">
        <f t="shared" si="0"/>
        <v>99.526770781987267</v>
      </c>
    </row>
    <row r="69" spans="1:8" ht="27" customHeight="1" thickBot="1" x14ac:dyDescent="0.55000000000000004">
      <c r="A69" s="357" t="s">
        <v>105</v>
      </c>
      <c r="B69" s="371">
        <f>(D47*B68)/B56*B57</f>
        <v>862.26350000000025</v>
      </c>
      <c r="C69" s="509"/>
      <c r="D69" s="512"/>
      <c r="E69" s="368">
        <v>2</v>
      </c>
      <c r="F69" s="525">
        <v>28538721</v>
      </c>
      <c r="G69" s="431">
        <f>IF(ISBLANK(F69),"-",(F69/$D$50*$D$47*$B$68)*($B$57/$D$68))</f>
        <v>295.42184832380531</v>
      </c>
      <c r="H69" s="449">
        <f t="shared" si="0"/>
        <v>98.473949441268445</v>
      </c>
    </row>
    <row r="70" spans="1:8" ht="26.25" customHeight="1" x14ac:dyDescent="0.45">
      <c r="A70" s="521" t="s">
        <v>78</v>
      </c>
      <c r="B70" s="522"/>
      <c r="C70" s="509"/>
      <c r="D70" s="512"/>
      <c r="E70" s="368">
        <v>3</v>
      </c>
      <c r="F70" s="525">
        <v>28795239</v>
      </c>
      <c r="G70" s="431">
        <f>IF(ISBLANK(F70),"-",(F70/$D$50*$D$47*$B$68)*($B$57/$D$68))</f>
        <v>298.07722386387684</v>
      </c>
      <c r="H70" s="449">
        <f t="shared" si="0"/>
        <v>99.35907462129228</v>
      </c>
    </row>
    <row r="71" spans="1:8" ht="27" customHeight="1" thickBot="1" x14ac:dyDescent="0.5">
      <c r="A71" s="523"/>
      <c r="B71" s="524"/>
      <c r="C71" s="520"/>
      <c r="D71" s="513"/>
      <c r="E71" s="369">
        <v>4</v>
      </c>
      <c r="F71" s="528"/>
      <c r="G71" s="447" t="str">
        <f>IF(ISBLANK(F71),"-",(F71/$D$50*$D$47*$B$68)*($B$57/$D$68))</f>
        <v>-</v>
      </c>
      <c r="H71" s="450" t="str">
        <f t="shared" si="0"/>
        <v>-</v>
      </c>
    </row>
    <row r="72" spans="1:8" ht="26.25" customHeight="1" x14ac:dyDescent="0.45">
      <c r="A72" s="372"/>
      <c r="B72" s="372"/>
      <c r="C72" s="372"/>
      <c r="D72" s="372"/>
      <c r="E72" s="372"/>
      <c r="F72" s="374" t="s">
        <v>71</v>
      </c>
      <c r="G72" s="436">
        <f>AVERAGE(G60:G71)</f>
        <v>298.53097042847298</v>
      </c>
      <c r="H72" s="451">
        <f>AVERAGE(H60:H71)</f>
        <v>99.510323476157666</v>
      </c>
    </row>
    <row r="73" spans="1:8" ht="26.25" customHeight="1" x14ac:dyDescent="0.45">
      <c r="C73" s="372"/>
      <c r="D73" s="372"/>
      <c r="E73" s="372"/>
      <c r="F73" s="375" t="s">
        <v>84</v>
      </c>
      <c r="G73" s="435">
        <f>STDEV(G60:G71)/G72</f>
        <v>9.1505202947554029E-3</v>
      </c>
      <c r="H73" s="435">
        <f>STDEV(H60:H71)/H72</f>
        <v>9.150520294755415E-3</v>
      </c>
    </row>
    <row r="74" spans="1:8" ht="27" customHeight="1" x14ac:dyDescent="0.45">
      <c r="A74" s="372"/>
      <c r="B74" s="372"/>
      <c r="C74" s="373"/>
      <c r="D74" s="373"/>
      <c r="E74" s="376"/>
      <c r="F74" s="377" t="s">
        <v>20</v>
      </c>
      <c r="G74" s="378">
        <f>COUNT(G60:G71)</f>
        <v>9</v>
      </c>
      <c r="H74" s="378">
        <f>COUNT(H60:H71)</f>
        <v>9</v>
      </c>
    </row>
    <row r="76" spans="1:8" ht="26.25" customHeight="1" x14ac:dyDescent="0.45">
      <c r="A76" s="293" t="s">
        <v>106</v>
      </c>
      <c r="B76" s="379" t="s">
        <v>107</v>
      </c>
      <c r="C76" s="516" t="str">
        <f>B26</f>
        <v>Tenofovir DF</v>
      </c>
      <c r="D76" s="516"/>
      <c r="E76" s="380" t="s">
        <v>108</v>
      </c>
      <c r="F76" s="380"/>
      <c r="G76" s="471">
        <f>H72</f>
        <v>99.510323476157666</v>
      </c>
      <c r="H76" s="382"/>
    </row>
    <row r="77" spans="1:8" ht="18" x14ac:dyDescent="0.35">
      <c r="A77" s="292" t="s">
        <v>109</v>
      </c>
      <c r="B77" s="292" t="s">
        <v>110</v>
      </c>
    </row>
    <row r="78" spans="1:8" ht="18" x14ac:dyDescent="0.35">
      <c r="A78" s="292"/>
      <c r="B78" s="292"/>
    </row>
    <row r="79" spans="1:8" ht="26.25" customHeight="1" x14ac:dyDescent="0.45">
      <c r="A79" s="293" t="s">
        <v>4</v>
      </c>
      <c r="B79" s="502" t="str">
        <f>B26</f>
        <v>Tenofovir DF</v>
      </c>
      <c r="C79" s="502"/>
    </row>
    <row r="80" spans="1:8" ht="26.25" customHeight="1" x14ac:dyDescent="0.45">
      <c r="A80" s="294" t="s">
        <v>48</v>
      </c>
      <c r="B80" s="502" t="str">
        <f>B27</f>
        <v>T11-8</v>
      </c>
      <c r="C80" s="502"/>
    </row>
    <row r="81" spans="1:12" ht="27" customHeight="1" x14ac:dyDescent="0.45">
      <c r="A81" s="294" t="s">
        <v>6</v>
      </c>
      <c r="B81" s="383">
        <f>B28</f>
        <v>98.8</v>
      </c>
    </row>
    <row r="82" spans="1:12" s="13" customFormat="1" ht="27" customHeight="1" x14ac:dyDescent="0.5">
      <c r="A82" s="294" t="s">
        <v>49</v>
      </c>
      <c r="B82" s="296">
        <v>0</v>
      </c>
      <c r="C82" s="493" t="s">
        <v>50</v>
      </c>
      <c r="D82" s="494"/>
      <c r="E82" s="494"/>
      <c r="F82" s="494"/>
      <c r="G82" s="495"/>
      <c r="I82" s="297"/>
      <c r="J82" s="297"/>
      <c r="K82" s="297"/>
      <c r="L82" s="297"/>
    </row>
    <row r="83" spans="1:12" s="13" customFormat="1" ht="19.5" customHeight="1" x14ac:dyDescent="0.35">
      <c r="A83" s="294" t="s">
        <v>51</v>
      </c>
      <c r="B83" s="298">
        <f>B81-B82</f>
        <v>98.8</v>
      </c>
      <c r="C83" s="299"/>
      <c r="D83" s="299"/>
      <c r="E83" s="299"/>
      <c r="F83" s="299"/>
      <c r="G83" s="300"/>
      <c r="I83" s="297"/>
      <c r="J83" s="297"/>
      <c r="K83" s="297"/>
      <c r="L83" s="297"/>
    </row>
    <row r="84" spans="1:12" s="13" customFormat="1" ht="27" customHeight="1" x14ac:dyDescent="0.45">
      <c r="A84" s="294" t="s">
        <v>52</v>
      </c>
      <c r="B84" s="301">
        <v>1</v>
      </c>
      <c r="C84" s="496" t="s">
        <v>111</v>
      </c>
      <c r="D84" s="497"/>
      <c r="E84" s="497"/>
      <c r="F84" s="497"/>
      <c r="G84" s="497"/>
      <c r="H84" s="498"/>
      <c r="I84" s="297"/>
      <c r="J84" s="297"/>
      <c r="K84" s="297"/>
      <c r="L84" s="297"/>
    </row>
    <row r="85" spans="1:12" s="13" customFormat="1" ht="27" customHeight="1" x14ac:dyDescent="0.45">
      <c r="A85" s="294" t="s">
        <v>54</v>
      </c>
      <c r="B85" s="301">
        <v>1</v>
      </c>
      <c r="C85" s="496" t="s">
        <v>112</v>
      </c>
      <c r="D85" s="497"/>
      <c r="E85" s="497"/>
      <c r="F85" s="497"/>
      <c r="G85" s="497"/>
      <c r="H85" s="498"/>
      <c r="I85" s="297"/>
      <c r="J85" s="297"/>
      <c r="K85" s="297"/>
      <c r="L85" s="297"/>
    </row>
    <row r="86" spans="1:12" s="13" customFormat="1" ht="18" x14ac:dyDescent="0.35">
      <c r="A86" s="294"/>
      <c r="B86" s="304"/>
      <c r="C86" s="305"/>
      <c r="D86" s="305"/>
      <c r="E86" s="305"/>
      <c r="F86" s="305"/>
      <c r="G86" s="305"/>
      <c r="H86" s="305"/>
      <c r="I86" s="297"/>
      <c r="J86" s="297"/>
      <c r="K86" s="297"/>
      <c r="L86" s="297"/>
    </row>
    <row r="87" spans="1:12" s="13" customFormat="1" ht="18" x14ac:dyDescent="0.35">
      <c r="A87" s="294" t="s">
        <v>56</v>
      </c>
      <c r="B87" s="306">
        <f>B84/B85</f>
        <v>1</v>
      </c>
      <c r="C87" s="284" t="s">
        <v>57</v>
      </c>
      <c r="D87" s="284"/>
      <c r="E87" s="284"/>
      <c r="F87" s="284"/>
      <c r="G87" s="284"/>
      <c r="I87" s="297"/>
      <c r="J87" s="297"/>
      <c r="K87" s="297"/>
      <c r="L87" s="297"/>
    </row>
    <row r="88" spans="1:12" ht="19.5" customHeight="1" x14ac:dyDescent="0.35">
      <c r="A88" s="292"/>
      <c r="B88" s="292"/>
    </row>
    <row r="89" spans="1:12" ht="27" customHeight="1" x14ac:dyDescent="0.45">
      <c r="A89" s="307" t="s">
        <v>58</v>
      </c>
      <c r="B89" s="308">
        <v>50</v>
      </c>
      <c r="D89" s="384" t="s">
        <v>59</v>
      </c>
      <c r="E89" s="385"/>
      <c r="F89" s="499" t="s">
        <v>60</v>
      </c>
      <c r="G89" s="501"/>
    </row>
    <row r="90" spans="1:12" ht="27" customHeight="1" x14ac:dyDescent="0.45">
      <c r="A90" s="309" t="s">
        <v>61</v>
      </c>
      <c r="B90" s="310">
        <v>1</v>
      </c>
      <c r="C90" s="386" t="s">
        <v>62</v>
      </c>
      <c r="D90" s="312" t="s">
        <v>63</v>
      </c>
      <c r="E90" s="313" t="s">
        <v>64</v>
      </c>
      <c r="F90" s="312" t="s">
        <v>63</v>
      </c>
      <c r="G90" s="387" t="s">
        <v>64</v>
      </c>
      <c r="I90" s="315" t="s">
        <v>65</v>
      </c>
    </row>
    <row r="91" spans="1:12" ht="26.25" customHeight="1" x14ac:dyDescent="0.45">
      <c r="A91" s="309" t="s">
        <v>66</v>
      </c>
      <c r="B91" s="310">
        <v>1</v>
      </c>
      <c r="C91" s="388">
        <v>1</v>
      </c>
      <c r="D91" s="317">
        <v>60296334</v>
      </c>
      <c r="E91" s="318">
        <f>IF(ISBLANK(D91),"-",$D$101/$D$98*D91)</f>
        <v>70309537.024944499</v>
      </c>
      <c r="F91" s="317">
        <v>73711348</v>
      </c>
      <c r="G91" s="319">
        <f>IF(ISBLANK(F91),"-",$D$101/$F$98*F91)</f>
        <v>70162972.599088758</v>
      </c>
      <c r="I91" s="320"/>
    </row>
    <row r="92" spans="1:12" ht="26.25" customHeight="1" x14ac:dyDescent="0.45">
      <c r="A92" s="309" t="s">
        <v>67</v>
      </c>
      <c r="B92" s="310">
        <v>1</v>
      </c>
      <c r="C92" s="373">
        <v>2</v>
      </c>
      <c r="D92" s="322">
        <v>60270590</v>
      </c>
      <c r="E92" s="323">
        <f>IF(ISBLANK(D92),"-",$D$101/$D$98*D92)</f>
        <v>70279517.808168069</v>
      </c>
      <c r="F92" s="322">
        <v>73867049</v>
      </c>
      <c r="G92" s="324">
        <f>IF(ISBLANK(F92),"-",$D$101/$F$98*F92)</f>
        <v>70311178.340715557</v>
      </c>
      <c r="I92" s="503">
        <f>ABS((F96/D96*D95)-F95)/D95</f>
        <v>1.3211910157913237E-3</v>
      </c>
    </row>
    <row r="93" spans="1:12" ht="26.25" customHeight="1" x14ac:dyDescent="0.45">
      <c r="A93" s="309" t="s">
        <v>68</v>
      </c>
      <c r="B93" s="310">
        <v>1</v>
      </c>
      <c r="C93" s="373">
        <v>3</v>
      </c>
      <c r="D93" s="322">
        <v>60408517</v>
      </c>
      <c r="E93" s="323">
        <f>IF(ISBLANK(D93),"-",$D$101/$D$98*D93)</f>
        <v>70440349.866601989</v>
      </c>
      <c r="F93" s="322">
        <v>73884365</v>
      </c>
      <c r="G93" s="324">
        <f>IF(ISBLANK(F93),"-",$D$101/$F$98*F93)</f>
        <v>70327660.769357696</v>
      </c>
      <c r="I93" s="503"/>
    </row>
    <row r="94" spans="1:12" ht="27" customHeight="1" x14ac:dyDescent="0.45">
      <c r="A94" s="309" t="s">
        <v>69</v>
      </c>
      <c r="B94" s="310">
        <v>1</v>
      </c>
      <c r="C94" s="389">
        <v>4</v>
      </c>
      <c r="D94" s="327"/>
      <c r="E94" s="328" t="str">
        <f>IF(ISBLANK(D94),"-",$D$101/$D$98*D94)</f>
        <v>-</v>
      </c>
      <c r="F94" s="390"/>
      <c r="G94" s="329" t="str">
        <f>IF(ISBLANK(F94),"-",$D$101/$F$98*F94)</f>
        <v>-</v>
      </c>
      <c r="I94" s="330"/>
    </row>
    <row r="95" spans="1:12" ht="27" customHeight="1" x14ac:dyDescent="0.45">
      <c r="A95" s="309" t="s">
        <v>70</v>
      </c>
      <c r="B95" s="310">
        <v>1</v>
      </c>
      <c r="C95" s="391" t="s">
        <v>71</v>
      </c>
      <c r="D95" s="392">
        <f>AVERAGE(D91:D94)</f>
        <v>60325147</v>
      </c>
      <c r="E95" s="333">
        <f>AVERAGE(E91:E94)</f>
        <v>70343134.899904847</v>
      </c>
      <c r="F95" s="393">
        <f>AVERAGE(F91:F94)</f>
        <v>73820920.666666672</v>
      </c>
      <c r="G95" s="394">
        <f>AVERAGE(G91:G94)</f>
        <v>70267270.569720671</v>
      </c>
    </row>
    <row r="96" spans="1:12" ht="26.25" customHeight="1" x14ac:dyDescent="0.45">
      <c r="A96" s="309" t="s">
        <v>72</v>
      </c>
      <c r="B96" s="295">
        <v>1</v>
      </c>
      <c r="C96" s="395" t="s">
        <v>113</v>
      </c>
      <c r="D96" s="396">
        <v>13.02</v>
      </c>
      <c r="E96" s="325"/>
      <c r="F96" s="337">
        <v>15.95</v>
      </c>
    </row>
    <row r="97" spans="1:10" ht="26.25" customHeight="1" x14ac:dyDescent="0.45">
      <c r="A97" s="309" t="s">
        <v>74</v>
      </c>
      <c r="B97" s="295">
        <v>1</v>
      </c>
      <c r="C97" s="397" t="s">
        <v>114</v>
      </c>
      <c r="D97" s="398">
        <f>D96*$B$87</f>
        <v>13.02</v>
      </c>
      <c r="E97" s="340"/>
      <c r="F97" s="339">
        <f>F96*$B$87</f>
        <v>15.95</v>
      </c>
    </row>
    <row r="98" spans="1:10" ht="19.5" customHeight="1" x14ac:dyDescent="0.35">
      <c r="A98" s="309" t="s">
        <v>76</v>
      </c>
      <c r="B98" s="399">
        <f>(B97/B96)*(B95/B94)*(B93/B92)*(B91/B90)*B89</f>
        <v>50</v>
      </c>
      <c r="C98" s="397" t="s">
        <v>115</v>
      </c>
      <c r="D98" s="400">
        <f>D97*$B$83/100</f>
        <v>12.863759999999999</v>
      </c>
      <c r="E98" s="343"/>
      <c r="F98" s="342">
        <f>F97*$B$83/100</f>
        <v>15.758599999999999</v>
      </c>
    </row>
    <row r="99" spans="1:10" ht="19.5" customHeight="1" x14ac:dyDescent="0.35">
      <c r="A99" s="504" t="s">
        <v>78</v>
      </c>
      <c r="B99" s="518"/>
      <c r="C99" s="397" t="s">
        <v>116</v>
      </c>
      <c r="D99" s="401">
        <f>D98/$B$98</f>
        <v>0.25727519999999998</v>
      </c>
      <c r="E99" s="343"/>
      <c r="F99" s="346">
        <f>F98/$B$98</f>
        <v>0.31517200000000001</v>
      </c>
      <c r="G99" s="402"/>
      <c r="H99" s="335"/>
    </row>
    <row r="100" spans="1:10" ht="19.5" customHeight="1" x14ac:dyDescent="0.35">
      <c r="A100" s="506"/>
      <c r="B100" s="519"/>
      <c r="C100" s="397" t="s">
        <v>80</v>
      </c>
      <c r="D100" s="403">
        <f>$B$56/$B$116</f>
        <v>0.3</v>
      </c>
      <c r="F100" s="351"/>
      <c r="G100" s="404"/>
      <c r="H100" s="335"/>
    </row>
    <row r="101" spans="1:10" ht="18" x14ac:dyDescent="0.35">
      <c r="C101" s="397" t="s">
        <v>81</v>
      </c>
      <c r="D101" s="398">
        <f>D100*$B$98</f>
        <v>15</v>
      </c>
      <c r="F101" s="351"/>
      <c r="G101" s="402"/>
      <c r="H101" s="335"/>
    </row>
    <row r="102" spans="1:10" ht="19.5" customHeight="1" x14ac:dyDescent="0.35">
      <c r="C102" s="405" t="s">
        <v>82</v>
      </c>
      <c r="D102" s="406">
        <f>D101/B34</f>
        <v>15</v>
      </c>
      <c r="F102" s="355"/>
      <c r="G102" s="402"/>
      <c r="H102" s="335"/>
      <c r="J102" s="407"/>
    </row>
    <row r="103" spans="1:10" ht="18" x14ac:dyDescent="0.35">
      <c r="C103" s="408" t="s">
        <v>117</v>
      </c>
      <c r="D103" s="409">
        <f>AVERAGE(E91:E94,G91:G94)</f>
        <v>70305202.734812751</v>
      </c>
      <c r="F103" s="355"/>
      <c r="G103" s="410"/>
      <c r="H103" s="335"/>
      <c r="J103" s="411"/>
    </row>
    <row r="104" spans="1:10" ht="18" x14ac:dyDescent="0.35">
      <c r="C104" s="375" t="s">
        <v>84</v>
      </c>
      <c r="D104" s="412">
        <f>STDEV(E91:E94,G91:G94)/D103</f>
        <v>1.267629718709891E-3</v>
      </c>
      <c r="F104" s="355"/>
      <c r="G104" s="402"/>
      <c r="H104" s="335"/>
      <c r="J104" s="411"/>
    </row>
    <row r="105" spans="1:10" ht="19.5" customHeight="1" x14ac:dyDescent="0.35">
      <c r="C105" s="377" t="s">
        <v>20</v>
      </c>
      <c r="D105" s="413">
        <f>COUNT(E91:E94,G91:G94)</f>
        <v>6</v>
      </c>
      <c r="F105" s="355"/>
      <c r="G105" s="402"/>
      <c r="H105" s="335"/>
      <c r="J105" s="411"/>
    </row>
    <row r="106" spans="1:10" ht="19.5" customHeight="1" x14ac:dyDescent="0.35">
      <c r="A106" s="359"/>
      <c r="B106" s="359"/>
      <c r="C106" s="359"/>
      <c r="D106" s="359"/>
      <c r="E106" s="359"/>
    </row>
    <row r="107" spans="1:10" ht="27" customHeight="1" thickBot="1" x14ac:dyDescent="0.5">
      <c r="A107" s="307" t="s">
        <v>118</v>
      </c>
      <c r="B107" s="308">
        <v>1000</v>
      </c>
      <c r="C107" s="452" t="s">
        <v>119</v>
      </c>
      <c r="D107" s="452" t="s">
        <v>63</v>
      </c>
      <c r="E107" s="452" t="s">
        <v>120</v>
      </c>
      <c r="F107" s="414" t="s">
        <v>121</v>
      </c>
    </row>
    <row r="108" spans="1:10" ht="26.25" customHeight="1" x14ac:dyDescent="0.45">
      <c r="A108" s="309" t="s">
        <v>122</v>
      </c>
      <c r="B108" s="310">
        <v>1</v>
      </c>
      <c r="C108" s="455">
        <v>1</v>
      </c>
      <c r="D108" s="529">
        <v>67614819</v>
      </c>
      <c r="E108" s="432">
        <f t="shared" ref="E108:E113" si="1">IF(ISBLANK(D108),"-",D108/$D$103*$D$100*$B$116)</f>
        <v>288.51983794871882</v>
      </c>
      <c r="F108" s="456">
        <f t="shared" ref="F108:F113" si="2">IF(ISBLANK(D108), "-", (E108/$B$56)*100)</f>
        <v>96.173279316239601</v>
      </c>
    </row>
    <row r="109" spans="1:10" ht="26.25" customHeight="1" x14ac:dyDescent="0.45">
      <c r="A109" s="309" t="s">
        <v>95</v>
      </c>
      <c r="B109" s="310">
        <v>1</v>
      </c>
      <c r="C109" s="453">
        <v>2</v>
      </c>
      <c r="D109" s="530">
        <v>67574274</v>
      </c>
      <c r="E109" s="433">
        <f t="shared" si="1"/>
        <v>288.34682799317</v>
      </c>
      <c r="F109" s="457">
        <f t="shared" si="2"/>
        <v>96.11560933105666</v>
      </c>
    </row>
    <row r="110" spans="1:10" ht="26.25" customHeight="1" x14ac:dyDescent="0.45">
      <c r="A110" s="309" t="s">
        <v>96</v>
      </c>
      <c r="B110" s="310">
        <v>1</v>
      </c>
      <c r="C110" s="453">
        <v>3</v>
      </c>
      <c r="D110" s="530">
        <v>67491293</v>
      </c>
      <c r="E110" s="433">
        <f t="shared" si="1"/>
        <v>287.99273897796729</v>
      </c>
      <c r="F110" s="457">
        <f t="shared" si="2"/>
        <v>95.997579659322426</v>
      </c>
    </row>
    <row r="111" spans="1:10" ht="26.25" customHeight="1" x14ac:dyDescent="0.45">
      <c r="A111" s="309" t="s">
        <v>97</v>
      </c>
      <c r="B111" s="310">
        <v>1</v>
      </c>
      <c r="C111" s="453">
        <v>4</v>
      </c>
      <c r="D111" s="530">
        <v>67776648</v>
      </c>
      <c r="E111" s="433">
        <f t="shared" si="1"/>
        <v>289.21038001547208</v>
      </c>
      <c r="F111" s="457">
        <f t="shared" si="2"/>
        <v>96.403460005157356</v>
      </c>
    </row>
    <row r="112" spans="1:10" ht="26.25" customHeight="1" x14ac:dyDescent="0.45">
      <c r="A112" s="309" t="s">
        <v>98</v>
      </c>
      <c r="B112" s="310">
        <v>1</v>
      </c>
      <c r="C112" s="453">
        <v>5</v>
      </c>
      <c r="D112" s="530">
        <v>67313295</v>
      </c>
      <c r="E112" s="433">
        <f t="shared" si="1"/>
        <v>287.23320201736107</v>
      </c>
      <c r="F112" s="457">
        <f t="shared" si="2"/>
        <v>95.744400672453693</v>
      </c>
    </row>
    <row r="113" spans="1:10" ht="27" customHeight="1" thickBot="1" x14ac:dyDescent="0.5">
      <c r="A113" s="309" t="s">
        <v>100</v>
      </c>
      <c r="B113" s="310">
        <v>1</v>
      </c>
      <c r="C113" s="454">
        <v>6</v>
      </c>
      <c r="D113" s="531">
        <v>68017762</v>
      </c>
      <c r="E113" s="434">
        <f t="shared" si="1"/>
        <v>290.23923986063653</v>
      </c>
      <c r="F113" s="458">
        <f t="shared" si="2"/>
        <v>96.746413286878834</v>
      </c>
    </row>
    <row r="114" spans="1:10" ht="27" customHeight="1" thickBot="1" x14ac:dyDescent="0.5">
      <c r="A114" s="309" t="s">
        <v>101</v>
      </c>
      <c r="B114" s="310">
        <v>1</v>
      </c>
      <c r="C114" s="415"/>
      <c r="D114" s="373"/>
      <c r="E114" s="283"/>
      <c r="F114" s="459"/>
    </row>
    <row r="115" spans="1:10" ht="26.25" customHeight="1" x14ac:dyDescent="0.45">
      <c r="A115" s="309" t="s">
        <v>102</v>
      </c>
      <c r="B115" s="310">
        <v>1</v>
      </c>
      <c r="C115" s="415"/>
      <c r="D115" s="439" t="s">
        <v>71</v>
      </c>
      <c r="E115" s="441">
        <f>AVERAGE(E108:E113)</f>
        <v>288.59037113555428</v>
      </c>
      <c r="F115" s="460">
        <f>AVERAGE(F108:F113)</f>
        <v>96.196790378518088</v>
      </c>
    </row>
    <row r="116" spans="1:10" ht="27" customHeight="1" x14ac:dyDescent="0.45">
      <c r="A116" s="309" t="s">
        <v>103</v>
      </c>
      <c r="B116" s="341">
        <f>(B115/B114)*(B113/B112)*(B111/B110)*(B109/B108)*B107</f>
        <v>1000</v>
      </c>
      <c r="C116" s="416"/>
      <c r="D116" s="440" t="s">
        <v>84</v>
      </c>
      <c r="E116" s="438">
        <f>STDEV(E108:E113)/E115</f>
        <v>3.5898832589180175E-3</v>
      </c>
      <c r="F116" s="417">
        <f>STDEV(F108:F113)/F115</f>
        <v>3.5898832589179755E-3</v>
      </c>
      <c r="I116" s="283"/>
    </row>
    <row r="117" spans="1:10" ht="27" customHeight="1" x14ac:dyDescent="0.45">
      <c r="A117" s="504" t="s">
        <v>78</v>
      </c>
      <c r="B117" s="505"/>
      <c r="C117" s="418"/>
      <c r="D117" s="377" t="s">
        <v>20</v>
      </c>
      <c r="E117" s="443">
        <f>COUNT(E108:E113)</f>
        <v>6</v>
      </c>
      <c r="F117" s="444">
        <f>COUNT(F108:F113)</f>
        <v>6</v>
      </c>
      <c r="I117" s="283"/>
      <c r="J117" s="411"/>
    </row>
    <row r="118" spans="1:10" ht="26.25" customHeight="1" x14ac:dyDescent="0.35">
      <c r="A118" s="506"/>
      <c r="B118" s="507"/>
      <c r="C118" s="283"/>
      <c r="D118" s="442"/>
      <c r="E118" s="484" t="s">
        <v>123</v>
      </c>
      <c r="F118" s="485"/>
      <c r="G118" s="283"/>
      <c r="H118" s="283"/>
      <c r="I118" s="283"/>
    </row>
    <row r="119" spans="1:10" ht="25.5" customHeight="1" x14ac:dyDescent="0.45">
      <c r="A119" s="427"/>
      <c r="B119" s="305"/>
      <c r="C119" s="283"/>
      <c r="D119" s="440" t="s">
        <v>124</v>
      </c>
      <c r="E119" s="445">
        <f>MIN(E108:E113)</f>
        <v>287.23320201736107</v>
      </c>
      <c r="F119" s="461">
        <f>MIN(F108:F113)</f>
        <v>95.744400672453693</v>
      </c>
      <c r="G119" s="283"/>
      <c r="H119" s="283"/>
      <c r="I119" s="283"/>
    </row>
    <row r="120" spans="1:10" ht="24" customHeight="1" x14ac:dyDescent="0.45">
      <c r="A120" s="427"/>
      <c r="B120" s="305"/>
      <c r="C120" s="283"/>
      <c r="D120" s="352" t="s">
        <v>125</v>
      </c>
      <c r="E120" s="446">
        <f>MAX(E108:E113)</f>
        <v>290.23923986063653</v>
      </c>
      <c r="F120" s="462">
        <f>MAX(F108:F113)</f>
        <v>96.746413286878834</v>
      </c>
      <c r="G120" s="283"/>
      <c r="H120" s="283"/>
      <c r="I120" s="283"/>
    </row>
    <row r="121" spans="1:10" ht="27" customHeight="1" x14ac:dyDescent="0.35">
      <c r="A121" s="427"/>
      <c r="B121" s="305"/>
      <c r="C121" s="283"/>
      <c r="D121" s="283"/>
      <c r="E121" s="283"/>
      <c r="F121" s="373"/>
      <c r="G121" s="283"/>
      <c r="H121" s="283"/>
      <c r="I121" s="283"/>
    </row>
    <row r="122" spans="1:10" ht="25.5" customHeight="1" x14ac:dyDescent="0.35">
      <c r="A122" s="427"/>
      <c r="B122" s="305"/>
      <c r="C122" s="283"/>
      <c r="D122" s="283"/>
      <c r="E122" s="283"/>
      <c r="F122" s="373"/>
      <c r="G122" s="283"/>
      <c r="H122" s="283"/>
      <c r="I122" s="283"/>
    </row>
    <row r="123" spans="1:10" ht="18" x14ac:dyDescent="0.35">
      <c r="A123" s="427"/>
      <c r="B123" s="305"/>
      <c r="C123" s="283"/>
      <c r="D123" s="283"/>
      <c r="E123" s="283"/>
      <c r="F123" s="373"/>
      <c r="G123" s="283"/>
      <c r="H123" s="283"/>
      <c r="I123" s="283"/>
    </row>
    <row r="124" spans="1:10" ht="45.75" customHeight="1" x14ac:dyDescent="0.85">
      <c r="A124" s="293" t="s">
        <v>106</v>
      </c>
      <c r="B124" s="379" t="s">
        <v>126</v>
      </c>
      <c r="C124" s="516" t="str">
        <f>B26</f>
        <v>Tenofovir DF</v>
      </c>
      <c r="D124" s="516"/>
      <c r="E124" s="380" t="s">
        <v>127</v>
      </c>
      <c r="F124" s="380"/>
      <c r="G124" s="463">
        <f>F115</f>
        <v>96.196790378518088</v>
      </c>
      <c r="H124" s="283"/>
      <c r="I124" s="283"/>
    </row>
    <row r="125" spans="1:10" ht="45.75" customHeight="1" x14ac:dyDescent="0.85">
      <c r="A125" s="293"/>
      <c r="B125" s="379" t="s">
        <v>128</v>
      </c>
      <c r="C125" s="294" t="s">
        <v>129</v>
      </c>
      <c r="D125" s="463">
        <f>MIN(F108:F113)</f>
        <v>95.744400672453693</v>
      </c>
      <c r="E125" s="391" t="s">
        <v>130</v>
      </c>
      <c r="F125" s="463">
        <f>MAX(F108:F113)</f>
        <v>96.746413286878834</v>
      </c>
      <c r="G125" s="381"/>
      <c r="H125" s="283"/>
      <c r="I125" s="283"/>
    </row>
    <row r="126" spans="1:10" ht="19.5" customHeight="1" x14ac:dyDescent="0.35">
      <c r="A126" s="419"/>
      <c r="B126" s="419"/>
      <c r="C126" s="420"/>
      <c r="D126" s="420"/>
      <c r="E126" s="420"/>
      <c r="F126" s="420"/>
      <c r="G126" s="420"/>
      <c r="H126" s="420"/>
    </row>
    <row r="127" spans="1:10" ht="18" x14ac:dyDescent="0.35">
      <c r="B127" s="517" t="s">
        <v>26</v>
      </c>
      <c r="C127" s="517"/>
      <c r="E127" s="386" t="s">
        <v>27</v>
      </c>
      <c r="F127" s="421"/>
      <c r="G127" s="517" t="s">
        <v>28</v>
      </c>
      <c r="H127" s="517"/>
    </row>
    <row r="128" spans="1:10" ht="69.900000000000006" customHeight="1" x14ac:dyDescent="0.35">
      <c r="A128" s="422" t="s">
        <v>29</v>
      </c>
      <c r="B128" s="423"/>
      <c r="C128" s="423"/>
      <c r="E128" s="423"/>
      <c r="F128" s="283"/>
      <c r="G128" s="424"/>
      <c r="H128" s="424"/>
    </row>
    <row r="129" spans="1:9" ht="69.900000000000006" customHeight="1" x14ac:dyDescent="0.35">
      <c r="A129" s="422" t="s">
        <v>30</v>
      </c>
      <c r="B129" s="425"/>
      <c r="C129" s="425"/>
      <c r="E129" s="425"/>
      <c r="F129" s="283"/>
      <c r="G129" s="426"/>
      <c r="H129" s="426"/>
    </row>
    <row r="130" spans="1:9" ht="18" x14ac:dyDescent="0.35">
      <c r="A130" s="372"/>
      <c r="B130" s="372"/>
      <c r="C130" s="373"/>
      <c r="D130" s="373"/>
      <c r="E130" s="373"/>
      <c r="F130" s="376"/>
      <c r="G130" s="373"/>
      <c r="H130" s="373"/>
      <c r="I130" s="283"/>
    </row>
    <row r="131" spans="1:9" ht="18" x14ac:dyDescent="0.35">
      <c r="A131" s="372"/>
      <c r="B131" s="372"/>
      <c r="C131" s="373"/>
      <c r="D131" s="373"/>
      <c r="E131" s="373"/>
      <c r="F131" s="376"/>
      <c r="G131" s="373"/>
      <c r="H131" s="373"/>
      <c r="I131" s="283"/>
    </row>
    <row r="132" spans="1:9" ht="18" x14ac:dyDescent="0.35">
      <c r="A132" s="372"/>
      <c r="B132" s="372"/>
      <c r="C132" s="373"/>
      <c r="D132" s="373"/>
      <c r="E132" s="373"/>
      <c r="F132" s="376"/>
      <c r="G132" s="373"/>
      <c r="H132" s="373"/>
      <c r="I132" s="283"/>
    </row>
    <row r="133" spans="1:9" ht="18" x14ac:dyDescent="0.35">
      <c r="A133" s="372"/>
      <c r="B133" s="372"/>
      <c r="C133" s="373"/>
      <c r="D133" s="373"/>
      <c r="E133" s="373"/>
      <c r="F133" s="376"/>
      <c r="G133" s="373"/>
      <c r="H133" s="373"/>
      <c r="I133" s="283"/>
    </row>
    <row r="134" spans="1:9" ht="18" x14ac:dyDescent="0.35">
      <c r="A134" s="372"/>
      <c r="B134" s="372"/>
      <c r="C134" s="373"/>
      <c r="D134" s="373"/>
      <c r="E134" s="373"/>
      <c r="F134" s="376"/>
      <c r="G134" s="373"/>
      <c r="H134" s="373"/>
      <c r="I134" s="283"/>
    </row>
    <row r="135" spans="1:9" ht="18" x14ac:dyDescent="0.35">
      <c r="A135" s="372"/>
      <c r="B135" s="372"/>
      <c r="C135" s="373"/>
      <c r="D135" s="373"/>
      <c r="E135" s="373"/>
      <c r="F135" s="376"/>
      <c r="G135" s="373"/>
      <c r="H135" s="373"/>
      <c r="I135" s="283"/>
    </row>
    <row r="136" spans="1:9" ht="18" x14ac:dyDescent="0.35">
      <c r="A136" s="372"/>
      <c r="B136" s="372"/>
      <c r="C136" s="373"/>
      <c r="D136" s="373"/>
      <c r="E136" s="373"/>
      <c r="F136" s="376"/>
      <c r="G136" s="373"/>
      <c r="H136" s="373"/>
      <c r="I136" s="283"/>
    </row>
    <row r="137" spans="1:9" ht="18" x14ac:dyDescent="0.35">
      <c r="A137" s="372"/>
      <c r="B137" s="372"/>
      <c r="C137" s="373"/>
      <c r="D137" s="373"/>
      <c r="E137" s="373"/>
      <c r="F137" s="376"/>
      <c r="G137" s="373"/>
      <c r="H137" s="373"/>
      <c r="I137" s="283"/>
    </row>
    <row r="138" spans="1:9" ht="18" x14ac:dyDescent="0.35">
      <c r="A138" s="372"/>
      <c r="B138" s="372"/>
      <c r="C138" s="373"/>
      <c r="D138" s="373"/>
      <c r="E138" s="373"/>
      <c r="F138" s="376"/>
      <c r="G138" s="373"/>
      <c r="H138" s="373"/>
      <c r="I138" s="283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Uniformity</vt:lpstr>
      <vt:lpstr>SST Lam</vt:lpstr>
      <vt:lpstr>SST Teno</vt:lpstr>
      <vt:lpstr>Lamivudine</vt:lpstr>
      <vt:lpstr>Tenofovir DF</vt:lpstr>
      <vt:lpstr>Lamivudine!Print_Area</vt:lpstr>
      <vt:lpstr>'SST Lam'!Print_Area</vt:lpstr>
      <vt:lpstr>'SST Teno'!Print_Area</vt:lpstr>
      <vt:lpstr>'Tenofovir DF'!Print_Area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2017-04-08T15:08:30Z</cp:lastPrinted>
  <dcterms:created xsi:type="dcterms:W3CDTF">2005-07-05T10:19:27Z</dcterms:created>
  <dcterms:modified xsi:type="dcterms:W3CDTF">2017-04-10T05:17:33Z</dcterms:modified>
</cp:coreProperties>
</file>