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9045" activeTab="6"/>
  </bookViews>
  <sheets>
    <sheet name="SST Lam" sheetId="9" r:id="rId1"/>
    <sheet name="SST Nev" sheetId="10" r:id="rId2"/>
    <sheet name="SST Zido" sheetId="11" r:id="rId3"/>
    <sheet name="Uniformity" sheetId="2" r:id="rId4"/>
    <sheet name="Lamivudine" sheetId="3" r:id="rId5"/>
    <sheet name="Nevirapine" sheetId="4" r:id="rId6"/>
    <sheet name="Zidovudine" sheetId="5" r:id="rId7"/>
  </sheets>
  <externalReferences>
    <externalReference r:id="rId8"/>
  </externalReferences>
  <definedNames>
    <definedName name="_xlnm.Print_Area" localSheetId="4">Lamivudine!$A$1:$I$129</definedName>
    <definedName name="_xlnm.Print_Area" localSheetId="5">Nevirapine!$A$1:$I$129</definedName>
    <definedName name="_xlnm.Print_Area" localSheetId="3">Uniformity!$A$1:$F$54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B40" i="11" l="1"/>
  <c r="F38" i="11"/>
  <c r="E38" i="11"/>
  <c r="D38" i="11"/>
  <c r="C38" i="11"/>
  <c r="B38" i="11"/>
  <c r="B39" i="11" s="1"/>
  <c r="B29" i="11"/>
  <c r="B18" i="11"/>
  <c r="F16" i="11"/>
  <c r="E16" i="11"/>
  <c r="D16" i="11"/>
  <c r="C16" i="11"/>
  <c r="B16" i="11"/>
  <c r="B17" i="11" s="1"/>
  <c r="B6" i="11"/>
  <c r="B7" i="11" s="1"/>
  <c r="B5" i="11"/>
  <c r="B40" i="10"/>
  <c r="F38" i="10"/>
  <c r="E38" i="10"/>
  <c r="D38" i="10"/>
  <c r="C38" i="10"/>
  <c r="B38" i="10"/>
  <c r="B39" i="10" s="1"/>
  <c r="B29" i="10"/>
  <c r="B18" i="10"/>
  <c r="F16" i="10"/>
  <c r="E16" i="10"/>
  <c r="D16" i="10"/>
  <c r="C16" i="10"/>
  <c r="B16" i="10"/>
  <c r="B17" i="10" s="1"/>
  <c r="B6" i="10"/>
  <c r="B7" i="10" s="1"/>
  <c r="B5" i="10"/>
  <c r="B39" i="9"/>
  <c r="E37" i="9"/>
  <c r="D37" i="9"/>
  <c r="C37" i="9"/>
  <c r="B37" i="9"/>
  <c r="B38" i="9" s="1"/>
  <c r="B28" i="9"/>
  <c r="B18" i="9"/>
  <c r="E16" i="9"/>
  <c r="D16" i="9"/>
  <c r="C16" i="9"/>
  <c r="B16" i="9"/>
  <c r="B17" i="9" s="1"/>
  <c r="B6" i="9"/>
  <c r="B7" i="9" s="1"/>
  <c r="B5" i="9"/>
  <c r="C124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B87" i="4"/>
  <c r="F97" i="4" s="1"/>
  <c r="B83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C46" i="2"/>
  <c r="D41" i="2" s="1"/>
  <c r="C45" i="2"/>
  <c r="D33" i="2"/>
  <c r="D30" i="2"/>
  <c r="D29" i="2"/>
  <c r="D28" i="2"/>
  <c r="D25" i="2"/>
  <c r="D24" i="2"/>
  <c r="C19" i="2"/>
  <c r="D26" i="2" l="1"/>
  <c r="D32" i="2"/>
  <c r="D37" i="2"/>
  <c r="D27" i="2"/>
  <c r="D31" i="2"/>
  <c r="F45" i="3"/>
  <c r="F46" i="3" s="1"/>
  <c r="I92" i="5"/>
  <c r="D101" i="5"/>
  <c r="I92" i="4"/>
  <c r="D101" i="4"/>
  <c r="I92" i="3"/>
  <c r="I39" i="5"/>
  <c r="F45" i="5"/>
  <c r="F46" i="5" s="1"/>
  <c r="I39" i="4"/>
  <c r="D45" i="4"/>
  <c r="D46" i="4" s="1"/>
  <c r="D101" i="3"/>
  <c r="D102" i="3" s="1"/>
  <c r="G40" i="3"/>
  <c r="G38" i="3"/>
  <c r="G41" i="3"/>
  <c r="D49" i="4"/>
  <c r="E38" i="4"/>
  <c r="F98" i="4"/>
  <c r="F99" i="4" s="1"/>
  <c r="D49" i="5"/>
  <c r="F98" i="5"/>
  <c r="F99" i="5" s="1"/>
  <c r="F98" i="3"/>
  <c r="F99" i="3" s="1"/>
  <c r="D102" i="4"/>
  <c r="D102" i="5"/>
  <c r="B57" i="5"/>
  <c r="B57" i="3"/>
  <c r="B69" i="3" s="1"/>
  <c r="D49" i="2"/>
  <c r="D40" i="2"/>
  <c r="D36" i="2"/>
  <c r="C49" i="2"/>
  <c r="D43" i="2"/>
  <c r="D39" i="2"/>
  <c r="D35" i="2"/>
  <c r="B57" i="4"/>
  <c r="B69" i="4" s="1"/>
  <c r="D50" i="2"/>
  <c r="B49" i="2"/>
  <c r="D42" i="2"/>
  <c r="D38" i="2"/>
  <c r="D34" i="2"/>
  <c r="C50" i="2"/>
  <c r="B69" i="5"/>
  <c r="D97" i="3"/>
  <c r="D98" i="3" s="1"/>
  <c r="D99" i="3" s="1"/>
  <c r="F44" i="4"/>
  <c r="F45" i="4" s="1"/>
  <c r="F46" i="4" s="1"/>
  <c r="D97" i="5"/>
  <c r="D98" i="5" s="1"/>
  <c r="D99" i="5" s="1"/>
  <c r="D44" i="3"/>
  <c r="D45" i="3" s="1"/>
  <c r="D49" i="3"/>
  <c r="D44" i="5"/>
  <c r="D45" i="5" s="1"/>
  <c r="D46" i="5" s="1"/>
  <c r="D97" i="4"/>
  <c r="D98" i="4" s="1"/>
  <c r="D99" i="4" s="1"/>
  <c r="G39" i="3"/>
  <c r="E39" i="4" l="1"/>
  <c r="E40" i="4"/>
  <c r="G92" i="5"/>
  <c r="E93" i="5"/>
  <c r="E94" i="5"/>
  <c r="G94" i="5"/>
  <c r="E92" i="5"/>
  <c r="G93" i="5"/>
  <c r="G91" i="4"/>
  <c r="G92" i="4"/>
  <c r="E93" i="4"/>
  <c r="G40" i="5"/>
  <c r="G41" i="5"/>
  <c r="G39" i="5"/>
  <c r="G38" i="5"/>
  <c r="G91" i="5"/>
  <c r="E41" i="4"/>
  <c r="E94" i="4"/>
  <c r="G42" i="3"/>
  <c r="E93" i="3"/>
  <c r="G92" i="3"/>
  <c r="E38" i="5"/>
  <c r="E41" i="5"/>
  <c r="G39" i="4"/>
  <c r="E92" i="3"/>
  <c r="E94" i="3"/>
  <c r="D46" i="3"/>
  <c r="E39" i="3"/>
  <c r="E40" i="3"/>
  <c r="E38" i="3"/>
  <c r="E91" i="5"/>
  <c r="E91" i="4"/>
  <c r="E92" i="4"/>
  <c r="E41" i="3"/>
  <c r="G93" i="3"/>
  <c r="E91" i="3"/>
  <c r="G38" i="4"/>
  <c r="E39" i="5"/>
  <c r="G94" i="4"/>
  <c r="G93" i="4"/>
  <c r="E40" i="5"/>
  <c r="G40" i="4"/>
  <c r="G41" i="4"/>
  <c r="G91" i="3"/>
  <c r="G94" i="3"/>
  <c r="E42" i="4" l="1"/>
  <c r="G95" i="5"/>
  <c r="G95" i="4"/>
  <c r="G42" i="5"/>
  <c r="G42" i="4"/>
  <c r="D50" i="4"/>
  <c r="G66" i="4" s="1"/>
  <c r="H66" i="4" s="1"/>
  <c r="G95" i="3"/>
  <c r="D51" i="4"/>
  <c r="E95" i="4"/>
  <c r="D105" i="4"/>
  <c r="D103" i="4"/>
  <c r="D103" i="3"/>
  <c r="E95" i="3"/>
  <c r="D105" i="3"/>
  <c r="D52" i="4"/>
  <c r="D103" i="5"/>
  <c r="E95" i="5"/>
  <c r="D105" i="5"/>
  <c r="D50" i="3"/>
  <c r="E42" i="3"/>
  <c r="D52" i="3"/>
  <c r="D50" i="5"/>
  <c r="E42" i="5"/>
  <c r="D52" i="5"/>
  <c r="G61" i="4" l="1"/>
  <c r="H61" i="4" s="1"/>
  <c r="G68" i="4"/>
  <c r="H68" i="4" s="1"/>
  <c r="G63" i="4"/>
  <c r="H63" i="4" s="1"/>
  <c r="G62" i="4"/>
  <c r="H62" i="4" s="1"/>
  <c r="G67" i="4"/>
  <c r="H67" i="4" s="1"/>
  <c r="G64" i="4"/>
  <c r="H64" i="4" s="1"/>
  <c r="G70" i="4"/>
  <c r="H70" i="4" s="1"/>
  <c r="G71" i="4"/>
  <c r="H71" i="4" s="1"/>
  <c r="G65" i="4"/>
  <c r="H65" i="4" s="1"/>
  <c r="G60" i="4"/>
  <c r="H60" i="4" s="1"/>
  <c r="G69" i="4"/>
  <c r="H69" i="4" s="1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G74" i="3"/>
  <c r="G72" i="3"/>
  <c r="G73" i="3" s="1"/>
  <c r="H60" i="3"/>
  <c r="E120" i="5"/>
  <c r="E117" i="5"/>
  <c r="F108" i="5"/>
  <c r="E115" i="5"/>
  <c r="E116" i="5" s="1"/>
  <c r="E119" i="5"/>
  <c r="E115" i="4"/>
  <c r="E116" i="4" s="1"/>
  <c r="E119" i="4"/>
  <c r="E120" i="4"/>
  <c r="E117" i="4"/>
  <c r="F108" i="4"/>
  <c r="E120" i="3"/>
  <c r="E117" i="3"/>
  <c r="F108" i="3"/>
  <c r="E115" i="3"/>
  <c r="E116" i="3" s="1"/>
  <c r="E119" i="3"/>
  <c r="H74" i="4"/>
  <c r="H72" i="4"/>
  <c r="G74" i="5"/>
  <c r="G72" i="5"/>
  <c r="G73" i="5" s="1"/>
  <c r="H60" i="5"/>
  <c r="H74" i="5" l="1"/>
  <c r="H72" i="5"/>
  <c r="H74" i="3"/>
  <c r="H72" i="3"/>
  <c r="F125" i="5"/>
  <c r="F120" i="5"/>
  <c r="F117" i="5"/>
  <c r="D125" i="5"/>
  <c r="F115" i="5"/>
  <c r="F119" i="5"/>
  <c r="F119" i="4"/>
  <c r="F125" i="4"/>
  <c r="F120" i="4"/>
  <c r="F117" i="4"/>
  <c r="D125" i="4"/>
  <c r="F115" i="4"/>
  <c r="G76" i="4"/>
  <c r="H73" i="4"/>
  <c r="F125" i="3"/>
  <c r="F120" i="3"/>
  <c r="F117" i="3"/>
  <c r="D125" i="3"/>
  <c r="F115" i="3"/>
  <c r="F119" i="3"/>
  <c r="G124" i="3" l="1"/>
  <c r="F116" i="3"/>
  <c r="G124" i="5"/>
  <c r="F116" i="5"/>
  <c r="G124" i="4"/>
  <c r="F116" i="4"/>
  <c r="G76" i="3"/>
  <c r="H73" i="3"/>
  <c r="G76" i="5"/>
  <c r="H73" i="5"/>
</calcChain>
</file>

<file path=xl/sharedStrings.xml><?xml version="1.0" encoding="utf-8"?>
<sst xmlns="http://schemas.openxmlformats.org/spreadsheetml/2006/main" count="678" uniqueCount="148">
  <si>
    <t>HPLC System Suitability Report</t>
  </si>
  <si>
    <t>Analysis Data</t>
  </si>
  <si>
    <t>Assay</t>
  </si>
  <si>
    <t>Sample(s)</t>
  </si>
  <si>
    <t>Reference Substance:</t>
  </si>
  <si>
    <t>LAMIVUDINE/ NEVIRAPINE/ZIDOVUDINE TABLETS
150 MG/ 200 MG/300 MG</t>
  </si>
  <si>
    <t>% age Purity:</t>
  </si>
  <si>
    <t>NDQB201609135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</si>
  <si>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</si>
  <si>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</si>
  <si>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</si>
  <si>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</si>
  <si>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2016-09-30 14:24:15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</si>
  <si>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</si>
  <si>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</si>
  <si>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</si>
  <si>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</si>
  <si>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</si>
  <si>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</si>
  <si>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</si>
  <si>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</si>
  <si>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</si>
  <si>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</si>
  <si>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</si>
  <si>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</si>
  <si>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</si>
  <si>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</si>
  <si>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</si>
  <si>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</si>
  <si>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</si>
  <si>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</si>
  <si>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</si>
  <si>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</si>
  <si>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</si>
  <si>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</si>
  <si>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</si>
  <si>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</si>
  <si>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</si>
  <si>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</si>
  <si>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</si>
  <si>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</si>
  <si>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</si>
  <si>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</si>
  <si>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</si>
  <si>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</si>
  <si>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</si>
  <si>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</si>
  <si>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</si>
  <si>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</si>
  <si>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</si>
  <si>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</si>
  <si>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</si>
  <si>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</si>
  <si>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</si>
  <si>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</si>
  <si>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</si>
  <si>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</si>
  <si>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</si>
  <si>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</si>
  <si>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</si>
  <si>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</si>
  <si>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</si>
  <si>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</si>
  <si>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</si>
  <si>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</si>
  <si>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</si>
  <si>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</si>
  <si>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</si>
  <si>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</si>
  <si>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</si>
  <si>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</si>
  <si>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</si>
  <si>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</si>
  <si>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</si>
  <si>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</si>
  <si>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</si>
  <si>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</si>
  <si>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</si>
  <si>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</si>
  <si>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</si>
  <si>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</si>
  <si>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</si>
  <si>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</si>
  <si>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</si>
  <si>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</si>
  <si>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</si>
  <si>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</si>
  <si>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</si>
  <si>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</si>
  <si>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</si>
  <si>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</si>
  <si>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</si>
  <si>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</si>
  <si>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</si>
  <si>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</si>
  <si>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</si>
  <si>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</si>
  <si>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</si>
  <si>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</si>
  <si>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</si>
  <si>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</si>
  <si>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</si>
  <si>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</si>
  <si>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</si>
  <si>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</si>
  <si>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</si>
  <si>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</si>
  <si>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</si>
  <si>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</si>
  <si>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</si>
  <si>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</si>
  <si>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</si>
  <si>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</si>
  <si>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</si>
  <si>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</si>
  <si>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</si>
  <si>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</si>
  <si>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</si>
  <si>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</si>
  <si>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</si>
  <si>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</si>
  <si>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</si>
  <si>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</si>
  <si>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</si>
  <si>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</si>
  <si>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</si>
  <si>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</si>
  <si>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</si>
  <si>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</si>
  <si>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</si>
  <si>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</si>
  <si>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</si>
  <si>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Nevirapine</t>
  </si>
  <si>
    <t>N13-3</t>
  </si>
  <si>
    <t>Zidovudine</t>
  </si>
  <si>
    <t>Z1-1</t>
  </si>
  <si>
    <t>LAMIVUDINE / NEVIRAPINE / ZIDOVUDINE  DISPERSIBLE TABLETS 30 MG/50 MG/60 MG</t>
  </si>
  <si>
    <t>Resolution</t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</si>
  <si>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</si>
  <si>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5.0</t>
    </r>
  </si>
  <si>
    <t>NDQB201607028</t>
  </si>
  <si>
    <t>NDQE201607029</t>
  </si>
  <si>
    <t>RUTTO KENNEDY</t>
  </si>
  <si>
    <t>14/11/2016</t>
  </si>
  <si>
    <t>Resolution(USP)</t>
  </si>
  <si>
    <r>
      <t xml:space="preserve">The Resolution between Zidovudine and Nevirapine is </t>
    </r>
    <r>
      <rPr>
        <b/>
        <sz val="12"/>
        <color rgb="FF000000"/>
        <rFont val="Book Antiqua"/>
        <family val="1"/>
      </rPr>
      <t>NLT 12.0</t>
    </r>
  </si>
  <si>
    <r>
      <t xml:space="preserve">The Resolution between Lamivudine and Zidovudine is </t>
    </r>
    <r>
      <rPr>
        <b/>
        <sz val="12"/>
        <color rgb="FF000000"/>
        <rFont val="Book Antiqua"/>
        <family val="1"/>
      </rPr>
      <t>NLT 8.0</t>
    </r>
  </si>
  <si>
    <t>103M88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</si>
</sst>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7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57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6" fillId="2" borderId="0" xfId="2" applyFont="1" applyFill="1"/>
    <xf numFmtId="0" fontId="2" fillId="2" borderId="9" xfId="2" applyFont="1" applyFill="1" applyBorder="1"/>
    <xf numFmtId="10" fontId="2" fillId="2" borderId="9" xfId="2" applyNumberFormat="1" applyFont="1" applyFill="1" applyBorder="1"/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7" fillId="2" borderId="0" xfId="1" applyFont="1" applyFill="1" applyAlignment="1">
      <alignment horizontal="left"/>
    </xf>
    <xf numFmtId="0" fontId="5" fillId="2" borderId="57" xfId="1" applyFont="1" applyFill="1" applyBorder="1" applyAlignment="1">
      <alignment horizontal="center"/>
    </xf>
    <xf numFmtId="0" fontId="26" fillId="2" borderId="0" xfId="1" applyFont="1" applyFill="1"/>
    <xf numFmtId="0" fontId="1" fillId="2" borderId="10" xfId="1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176" fontId="7" fillId="3" borderId="3" xfId="1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8" fillId="3" borderId="3" xfId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rah/Analysis/November%2016/NDQB2016101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 Lam"/>
      <sheetName val="SST Zido"/>
      <sheetName val="SST Nev"/>
      <sheetName val="Lamivudine"/>
      <sheetName val="Zidovudine"/>
      <sheetName val="Nevirapin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B28">
            <v>99.3</v>
          </cell>
        </row>
        <row r="43">
          <cell r="D43">
            <v>16.260000000000002</v>
          </cell>
        </row>
      </sheetData>
      <sheetData sheetId="5">
        <row r="28">
          <cell r="B28">
            <v>99</v>
          </cell>
        </row>
        <row r="43">
          <cell r="D43">
            <v>28.1</v>
          </cell>
        </row>
      </sheetData>
      <sheetData sheetId="6">
        <row r="28">
          <cell r="B28">
            <v>99.8</v>
          </cell>
        </row>
        <row r="43">
          <cell r="D43">
            <v>8.69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6" workbookViewId="0">
      <selection activeCell="C33" sqref="C33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6"/>
  </cols>
  <sheetData>
    <row r="1" spans="1:5" ht="18.75" customHeight="1" x14ac:dyDescent="0.3">
      <c r="A1" s="700" t="s">
        <v>0</v>
      </c>
      <c r="B1" s="700"/>
      <c r="C1" s="700"/>
      <c r="D1" s="700"/>
      <c r="E1" s="700"/>
    </row>
    <row r="2" spans="1:5" ht="16.5" customHeight="1" x14ac:dyDescent="0.3">
      <c r="A2" s="612" t="s">
        <v>1</v>
      </c>
      <c r="B2" s="613" t="s">
        <v>2</v>
      </c>
    </row>
    <row r="3" spans="1:5" ht="16.5" customHeight="1" x14ac:dyDescent="0.3">
      <c r="A3" s="614" t="s">
        <v>3</v>
      </c>
      <c r="B3" s="614" t="s">
        <v>136</v>
      </c>
      <c r="D3" s="615"/>
      <c r="E3" s="616"/>
    </row>
    <row r="4" spans="1:5" ht="16.5" customHeight="1" x14ac:dyDescent="0.3">
      <c r="A4" s="617" t="s">
        <v>4</v>
      </c>
      <c r="B4" s="614" t="s">
        <v>131</v>
      </c>
      <c r="C4" s="616"/>
      <c r="D4" s="616"/>
      <c r="E4" s="616"/>
    </row>
    <row r="5" spans="1:5" ht="16.5" customHeight="1" x14ac:dyDescent="0.3">
      <c r="A5" s="617" t="s">
        <v>6</v>
      </c>
      <c r="B5" s="618">
        <f>[1]Lamivudine!B28</f>
        <v>99.3</v>
      </c>
      <c r="C5" s="616"/>
      <c r="D5" s="616"/>
      <c r="E5" s="616"/>
    </row>
    <row r="6" spans="1:5" ht="16.5" customHeight="1" x14ac:dyDescent="0.3">
      <c r="A6" s="614" t="s">
        <v>8</v>
      </c>
      <c r="B6" s="618">
        <f>[1]Lamivudine!D43</f>
        <v>16.260000000000002</v>
      </c>
      <c r="C6" s="616"/>
      <c r="D6" s="616"/>
      <c r="E6" s="616"/>
    </row>
    <row r="7" spans="1:5" ht="16.5" customHeight="1" x14ac:dyDescent="0.3">
      <c r="A7" s="614" t="s">
        <v>10</v>
      </c>
      <c r="B7" s="619">
        <f>B6/100</f>
        <v>0.16260000000000002</v>
      </c>
      <c r="C7" s="616"/>
      <c r="D7" s="616"/>
      <c r="E7" s="616"/>
    </row>
    <row r="8" spans="1:5" ht="15.75" customHeight="1" x14ac:dyDescent="0.25">
      <c r="A8" s="616"/>
      <c r="B8" s="616"/>
      <c r="C8" s="616"/>
      <c r="D8" s="616"/>
      <c r="E8" s="616"/>
    </row>
    <row r="9" spans="1:5" ht="16.5" customHeight="1" x14ac:dyDescent="0.3">
      <c r="A9" s="620" t="s">
        <v>13</v>
      </c>
      <c r="B9" s="621" t="s">
        <v>14</v>
      </c>
      <c r="C9" s="620" t="s">
        <v>15</v>
      </c>
      <c r="D9" s="620" t="s">
        <v>16</v>
      </c>
      <c r="E9" s="620" t="s">
        <v>17</v>
      </c>
    </row>
    <row r="10" spans="1:5" ht="16.5" customHeight="1" x14ac:dyDescent="0.3">
      <c r="A10" s="622">
        <v>1</v>
      </c>
      <c r="B10" s="623">
        <v>32806262</v>
      </c>
      <c r="C10" s="623">
        <v>6068.33</v>
      </c>
      <c r="D10" s="624">
        <v>1.1399999999999999</v>
      </c>
      <c r="E10" s="625">
        <v>2.85</v>
      </c>
    </row>
    <row r="11" spans="1:5" ht="16.5" customHeight="1" x14ac:dyDescent="0.3">
      <c r="A11" s="622">
        <v>2</v>
      </c>
      <c r="B11" s="623">
        <v>32772647</v>
      </c>
      <c r="C11" s="623">
        <v>6077.74</v>
      </c>
      <c r="D11" s="624">
        <v>1.1499999999999999</v>
      </c>
      <c r="E11" s="624">
        <v>2.85</v>
      </c>
    </row>
    <row r="12" spans="1:5" ht="16.5" customHeight="1" x14ac:dyDescent="0.3">
      <c r="A12" s="622">
        <v>3</v>
      </c>
      <c r="B12" s="623">
        <v>32917670</v>
      </c>
      <c r="C12" s="623">
        <v>6077.4</v>
      </c>
      <c r="D12" s="624">
        <v>1.1499999999999999</v>
      </c>
      <c r="E12" s="624">
        <v>2.85</v>
      </c>
    </row>
    <row r="13" spans="1:5" ht="16.5" customHeight="1" x14ac:dyDescent="0.3">
      <c r="A13" s="622">
        <v>4</v>
      </c>
      <c r="B13" s="623">
        <v>32741396</v>
      </c>
      <c r="C13" s="623">
        <v>6083.06</v>
      </c>
      <c r="D13" s="624">
        <v>1.1399999999999999</v>
      </c>
      <c r="E13" s="624">
        <v>2.85</v>
      </c>
    </row>
    <row r="14" spans="1:5" ht="16.5" customHeight="1" x14ac:dyDescent="0.3">
      <c r="A14" s="622">
        <v>5</v>
      </c>
      <c r="B14" s="623">
        <v>32866836</v>
      </c>
      <c r="C14" s="623">
        <v>6192.54</v>
      </c>
      <c r="D14" s="624">
        <v>1.1000000000000001</v>
      </c>
      <c r="E14" s="624">
        <v>2.85</v>
      </c>
    </row>
    <row r="15" spans="1:5" ht="16.5" customHeight="1" x14ac:dyDescent="0.3">
      <c r="A15" s="622">
        <v>6</v>
      </c>
      <c r="B15" s="626">
        <v>32960195</v>
      </c>
      <c r="C15" s="626">
        <v>6197.57</v>
      </c>
      <c r="D15" s="627">
        <v>1.1000000000000001</v>
      </c>
      <c r="E15" s="627">
        <v>2.85</v>
      </c>
    </row>
    <row r="16" spans="1:5" ht="16.5" customHeight="1" x14ac:dyDescent="0.3">
      <c r="A16" s="628" t="s">
        <v>18</v>
      </c>
      <c r="B16" s="629">
        <f>AVERAGE(B10:B15)</f>
        <v>32844167.666666668</v>
      </c>
      <c r="C16" s="630">
        <f>AVERAGE(C10:C15)</f>
        <v>6116.1066666666666</v>
      </c>
      <c r="D16" s="631">
        <f>AVERAGE(D10:D15)</f>
        <v>1.1299999999999999</v>
      </c>
      <c r="E16" s="631">
        <f>AVERAGE(E10:E15)</f>
        <v>2.85</v>
      </c>
    </row>
    <row r="17" spans="1:5" ht="16.5" customHeight="1" x14ac:dyDescent="0.3">
      <c r="A17" s="632" t="s">
        <v>19</v>
      </c>
      <c r="B17" s="633">
        <f>(STDEV(B10:B15)/B16)</f>
        <v>2.6011214092010165E-3</v>
      </c>
      <c r="C17" s="634"/>
      <c r="D17" s="634"/>
      <c r="E17" s="635"/>
    </row>
    <row r="18" spans="1:5" s="611" customFormat="1" ht="16.5" customHeight="1" x14ac:dyDescent="0.3">
      <c r="A18" s="636" t="s">
        <v>20</v>
      </c>
      <c r="B18" s="637">
        <f>COUNT(B10:B15)</f>
        <v>6</v>
      </c>
      <c r="C18" s="638"/>
      <c r="D18" s="639"/>
      <c r="E18" s="640"/>
    </row>
    <row r="19" spans="1:5" s="611" customFormat="1" ht="15.75" customHeight="1" x14ac:dyDescent="0.25">
      <c r="A19" s="616"/>
      <c r="B19" s="616"/>
      <c r="C19" s="616"/>
      <c r="D19" s="616"/>
      <c r="E19" s="616"/>
    </row>
    <row r="20" spans="1:5" s="611" customFormat="1" ht="16.5" customHeight="1" x14ac:dyDescent="0.3">
      <c r="A20" s="617" t="s">
        <v>21</v>
      </c>
      <c r="B20" s="641" t="s">
        <v>22</v>
      </c>
      <c r="C20" s="642"/>
      <c r="D20" s="642"/>
      <c r="E20" s="642"/>
    </row>
    <row r="21" spans="1:5" ht="16.5" customHeight="1" x14ac:dyDescent="0.3">
      <c r="A21" s="617"/>
      <c r="B21" s="641" t="s">
        <v>23</v>
      </c>
      <c r="C21" s="642"/>
      <c r="D21" s="642"/>
      <c r="E21" s="642"/>
    </row>
    <row r="22" spans="1:5" ht="16.5" customHeight="1" x14ac:dyDescent="0.3">
      <c r="A22" s="617"/>
      <c r="B22" s="641" t="s">
        <v>24</v>
      </c>
      <c r="C22" s="642"/>
      <c r="D22" s="642"/>
      <c r="E22" s="642"/>
    </row>
    <row r="23" spans="1:5" ht="15.75" customHeight="1" x14ac:dyDescent="0.25">
      <c r="A23" s="616"/>
      <c r="B23" s="616"/>
      <c r="C23" s="616"/>
      <c r="D23" s="616"/>
      <c r="E23" s="616"/>
    </row>
    <row r="24" spans="1:5" ht="16.5" customHeight="1" x14ac:dyDescent="0.3">
      <c r="A24" s="612" t="s">
        <v>1</v>
      </c>
      <c r="B24" s="613" t="s">
        <v>25</v>
      </c>
    </row>
    <row r="25" spans="1:5" ht="16.5" customHeight="1" x14ac:dyDescent="0.3">
      <c r="A25" s="617" t="s">
        <v>4</v>
      </c>
      <c r="B25" s="614" t="s">
        <v>131</v>
      </c>
      <c r="C25" s="616"/>
      <c r="D25" s="616"/>
      <c r="E25" s="616"/>
    </row>
    <row r="26" spans="1:5" ht="16.5" customHeight="1" x14ac:dyDescent="0.3">
      <c r="A26" s="617" t="s">
        <v>6</v>
      </c>
      <c r="B26" s="618">
        <v>99.39</v>
      </c>
      <c r="C26" s="616"/>
      <c r="D26" s="616"/>
      <c r="E26" s="616"/>
    </row>
    <row r="27" spans="1:5" ht="16.5" customHeight="1" x14ac:dyDescent="0.3">
      <c r="A27" s="614" t="s">
        <v>8</v>
      </c>
      <c r="B27" s="618">
        <v>31.85</v>
      </c>
      <c r="C27" s="616"/>
      <c r="D27" s="616"/>
      <c r="E27" s="616"/>
    </row>
    <row r="28" spans="1:5" ht="16.5" customHeight="1" x14ac:dyDescent="0.3">
      <c r="A28" s="614" t="s">
        <v>10</v>
      </c>
      <c r="B28" s="619">
        <f>31.85/100</f>
        <v>0.31850000000000001</v>
      </c>
      <c r="C28" s="616"/>
      <c r="D28" s="616"/>
      <c r="E28" s="616"/>
    </row>
    <row r="29" spans="1:5" ht="15.75" customHeight="1" x14ac:dyDescent="0.25">
      <c r="A29" s="616"/>
      <c r="B29" s="616"/>
      <c r="C29" s="616"/>
      <c r="D29" s="616"/>
      <c r="E29" s="616"/>
    </row>
    <row r="30" spans="1:5" ht="16.5" customHeight="1" x14ac:dyDescent="0.3">
      <c r="A30" s="620" t="s">
        <v>13</v>
      </c>
      <c r="B30" s="621" t="s">
        <v>14</v>
      </c>
      <c r="C30" s="620" t="s">
        <v>15</v>
      </c>
      <c r="D30" s="620" t="s">
        <v>16</v>
      </c>
      <c r="E30" s="620" t="s">
        <v>17</v>
      </c>
    </row>
    <row r="31" spans="1:5" ht="16.5" customHeight="1" x14ac:dyDescent="0.3">
      <c r="A31" s="622">
        <v>1</v>
      </c>
      <c r="B31" s="623">
        <v>117904928</v>
      </c>
      <c r="C31" s="699">
        <v>6454</v>
      </c>
      <c r="D31" s="624">
        <v>1.1000000000000001</v>
      </c>
      <c r="E31" s="625">
        <v>3.1</v>
      </c>
    </row>
    <row r="32" spans="1:5" ht="16.5" customHeight="1" x14ac:dyDescent="0.3">
      <c r="A32" s="622">
        <v>2</v>
      </c>
      <c r="B32" s="623">
        <v>117430263</v>
      </c>
      <c r="C32" s="623">
        <v>6470.1</v>
      </c>
      <c r="D32" s="624">
        <v>1.1000000000000001</v>
      </c>
      <c r="E32" s="624">
        <v>3.1</v>
      </c>
    </row>
    <row r="33" spans="1:7" ht="16.5" customHeight="1" x14ac:dyDescent="0.3">
      <c r="A33" s="622">
        <v>3</v>
      </c>
      <c r="B33" s="623">
        <v>117456623</v>
      </c>
      <c r="C33" s="623">
        <v>6475.2</v>
      </c>
      <c r="D33" s="624">
        <v>1.1000000000000001</v>
      </c>
      <c r="E33" s="624">
        <v>3.1</v>
      </c>
    </row>
    <row r="34" spans="1:7" ht="16.5" customHeight="1" x14ac:dyDescent="0.3">
      <c r="A34" s="622">
        <v>4</v>
      </c>
      <c r="B34" s="623">
        <v>117330026</v>
      </c>
      <c r="C34" s="623">
        <v>6490.8</v>
      </c>
      <c r="D34" s="624">
        <v>1.1000000000000001</v>
      </c>
      <c r="E34" s="624">
        <v>3.1</v>
      </c>
    </row>
    <row r="35" spans="1:7" ht="16.5" customHeight="1" x14ac:dyDescent="0.3">
      <c r="A35" s="622">
        <v>5</v>
      </c>
      <c r="B35" s="623">
        <v>117652140</v>
      </c>
      <c r="C35" s="699">
        <v>6489</v>
      </c>
      <c r="D35" s="624">
        <v>1.1000000000000001</v>
      </c>
      <c r="E35" s="624">
        <v>3.1</v>
      </c>
    </row>
    <row r="36" spans="1:7" ht="16.5" customHeight="1" x14ac:dyDescent="0.3">
      <c r="A36" s="622">
        <v>6</v>
      </c>
      <c r="B36" s="626">
        <v>117632031</v>
      </c>
      <c r="C36" s="626">
        <v>6475.8</v>
      </c>
      <c r="D36" s="627">
        <v>1.1000000000000001</v>
      </c>
      <c r="E36" s="627">
        <v>3.1</v>
      </c>
    </row>
    <row r="37" spans="1:7" ht="16.5" customHeight="1" x14ac:dyDescent="0.3">
      <c r="A37" s="628" t="s">
        <v>18</v>
      </c>
      <c r="B37" s="629">
        <f>AVERAGE(B31:B36)</f>
        <v>117567668.5</v>
      </c>
      <c r="C37" s="630">
        <f>AVERAGE(C31:C36)</f>
        <v>6475.8166666666666</v>
      </c>
      <c r="D37" s="631">
        <f>AVERAGE(D31:D36)</f>
        <v>1.0999999999999999</v>
      </c>
      <c r="E37" s="631">
        <f>AVERAGE(E31:E36)</f>
        <v>3.1</v>
      </c>
    </row>
    <row r="38" spans="1:7" ht="16.5" customHeight="1" x14ac:dyDescent="0.3">
      <c r="A38" s="632" t="s">
        <v>19</v>
      </c>
      <c r="B38" s="633">
        <f>(STDEV(B31:B36)/B37)</f>
        <v>1.7543581439808337E-3</v>
      </c>
      <c r="C38" s="634"/>
      <c r="D38" s="634"/>
      <c r="E38" s="635"/>
    </row>
    <row r="39" spans="1:7" s="611" customFormat="1" ht="16.5" customHeight="1" x14ac:dyDescent="0.3">
      <c r="A39" s="636" t="s">
        <v>20</v>
      </c>
      <c r="B39" s="637">
        <f>COUNT(B31:B36)</f>
        <v>6</v>
      </c>
      <c r="C39" s="638"/>
      <c r="D39" s="639"/>
      <c r="E39" s="640"/>
    </row>
    <row r="40" spans="1:7" s="611" customFormat="1" ht="15.75" customHeight="1" x14ac:dyDescent="0.25">
      <c r="A40" s="616"/>
      <c r="B40" s="616"/>
      <c r="C40" s="616"/>
      <c r="D40" s="616"/>
      <c r="E40" s="616"/>
    </row>
    <row r="41" spans="1:7" s="611" customFormat="1" ht="16.5" customHeight="1" x14ac:dyDescent="0.3">
      <c r="A41" s="617" t="s">
        <v>21</v>
      </c>
      <c r="B41" s="641" t="s">
        <v>22</v>
      </c>
      <c r="C41" s="642"/>
      <c r="D41" s="642"/>
      <c r="E41" s="642"/>
    </row>
    <row r="42" spans="1:7" ht="16.5" customHeight="1" x14ac:dyDescent="0.3">
      <c r="A42" s="617"/>
      <c r="B42" s="641" t="s">
        <v>23</v>
      </c>
      <c r="C42" s="642"/>
      <c r="D42" s="642"/>
      <c r="E42" s="642"/>
    </row>
    <row r="43" spans="1:7" ht="16.5" customHeight="1" x14ac:dyDescent="0.3">
      <c r="A43" s="617"/>
      <c r="B43" s="641" t="s">
        <v>24</v>
      </c>
      <c r="C43" s="642"/>
      <c r="D43" s="642"/>
      <c r="E43" s="642"/>
    </row>
    <row r="44" spans="1:7" ht="14.25" customHeight="1" thickBot="1" x14ac:dyDescent="0.3">
      <c r="A44" s="643"/>
      <c r="B44" s="644"/>
      <c r="D44" s="645"/>
      <c r="F44" s="646"/>
      <c r="G44" s="646"/>
    </row>
    <row r="45" spans="1:7" ht="15" customHeight="1" x14ac:dyDescent="0.3">
      <c r="B45" s="701" t="s">
        <v>26</v>
      </c>
      <c r="C45" s="701"/>
      <c r="E45" s="697" t="s">
        <v>27</v>
      </c>
      <c r="F45" s="647"/>
      <c r="G45" s="697" t="s">
        <v>28</v>
      </c>
    </row>
    <row r="46" spans="1:7" ht="15" customHeight="1" x14ac:dyDescent="0.3">
      <c r="A46" s="648" t="s">
        <v>29</v>
      </c>
      <c r="B46" s="649" t="s">
        <v>142</v>
      </c>
      <c r="C46" s="649"/>
      <c r="E46" s="649" t="s">
        <v>143</v>
      </c>
      <c r="G46" s="649"/>
    </row>
    <row r="47" spans="1:7" ht="15" customHeight="1" x14ac:dyDescent="0.3">
      <c r="A47" s="648" t="s">
        <v>30</v>
      </c>
      <c r="B47" s="650"/>
      <c r="C47" s="650"/>
      <c r="E47" s="650"/>
      <c r="G47" s="651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9" workbookViewId="0">
      <selection activeCell="B48" sqref="B48"/>
    </sheetView>
  </sheetViews>
  <sheetFormatPr defaultRowHeight="13.5" x14ac:dyDescent="0.25"/>
  <cols>
    <col min="1" max="1" width="27.5703125" style="611" customWidth="1"/>
    <col min="2" max="2" width="20.42578125" style="611" customWidth="1"/>
    <col min="3" max="3" width="31.85546875" style="611" customWidth="1"/>
    <col min="4" max="4" width="25.85546875" style="611" customWidth="1"/>
    <col min="5" max="5" width="25.7109375" style="611" customWidth="1"/>
    <col min="6" max="6" width="23.140625" style="611" customWidth="1"/>
    <col min="7" max="7" width="28.42578125" style="611" customWidth="1"/>
    <col min="8" max="8" width="21.5703125" style="611" customWidth="1"/>
    <col min="9" max="9" width="9.140625" style="611" customWidth="1"/>
    <col min="10" max="16384" width="9.140625" style="646"/>
  </cols>
  <sheetData>
    <row r="1" spans="1:10" ht="18.75" customHeight="1" x14ac:dyDescent="0.3">
      <c r="A1" s="700" t="s">
        <v>0</v>
      </c>
      <c r="B1" s="700"/>
      <c r="C1" s="700"/>
      <c r="D1" s="700"/>
      <c r="E1" s="700"/>
    </row>
    <row r="2" spans="1:10" ht="16.5" customHeight="1" x14ac:dyDescent="0.3">
      <c r="A2" s="612" t="s">
        <v>1</v>
      </c>
      <c r="B2" s="613" t="s">
        <v>2</v>
      </c>
    </row>
    <row r="3" spans="1:10" ht="16.5" customHeight="1" x14ac:dyDescent="0.3">
      <c r="A3" s="614" t="s">
        <v>3</v>
      </c>
      <c r="B3" s="614" t="s">
        <v>136</v>
      </c>
      <c r="D3" s="615"/>
      <c r="E3" s="616"/>
    </row>
    <row r="4" spans="1:10" ht="16.5" customHeight="1" x14ac:dyDescent="0.3">
      <c r="A4" s="617" t="s">
        <v>4</v>
      </c>
      <c r="B4" s="694" t="s">
        <v>132</v>
      </c>
      <c r="C4" s="616"/>
      <c r="D4" s="616"/>
      <c r="E4" s="616"/>
    </row>
    <row r="5" spans="1:10" ht="16.5" customHeight="1" x14ac:dyDescent="0.3">
      <c r="A5" s="617" t="s">
        <v>6</v>
      </c>
      <c r="B5" s="618">
        <f>[1]Nevirapine!B28</f>
        <v>99.8</v>
      </c>
      <c r="C5" s="616"/>
      <c r="D5" s="616"/>
      <c r="E5" s="616"/>
    </row>
    <row r="6" spans="1:10" ht="16.5" customHeight="1" x14ac:dyDescent="0.3">
      <c r="A6" s="614" t="s">
        <v>8</v>
      </c>
      <c r="B6" s="618">
        <f>[1]Nevirapine!D43</f>
        <v>8.69</v>
      </c>
      <c r="C6" s="616"/>
      <c r="D6" s="616"/>
      <c r="E6" s="616"/>
    </row>
    <row r="7" spans="1:10" ht="16.5" customHeight="1" x14ac:dyDescent="0.3">
      <c r="A7" s="614" t="s">
        <v>10</v>
      </c>
      <c r="B7" s="619">
        <f>B6/100</f>
        <v>8.6899999999999991E-2</v>
      </c>
      <c r="C7" s="616"/>
      <c r="D7" s="616"/>
      <c r="E7" s="616"/>
    </row>
    <row r="8" spans="1:10" ht="15.75" customHeight="1" x14ac:dyDescent="0.25">
      <c r="A8" s="616"/>
      <c r="B8" s="616"/>
      <c r="C8" s="616"/>
      <c r="D8" s="616"/>
      <c r="E8" s="616"/>
    </row>
    <row r="9" spans="1:10" ht="16.5" customHeight="1" x14ac:dyDescent="0.3">
      <c r="A9" s="620" t="s">
        <v>13</v>
      </c>
      <c r="B9" s="621" t="s">
        <v>14</v>
      </c>
      <c r="C9" s="620" t="s">
        <v>15</v>
      </c>
      <c r="D9" s="620" t="s">
        <v>16</v>
      </c>
      <c r="E9" s="695" t="s">
        <v>17</v>
      </c>
      <c r="F9" s="695" t="s">
        <v>137</v>
      </c>
      <c r="J9" s="611"/>
    </row>
    <row r="10" spans="1:10" ht="16.5" customHeight="1" x14ac:dyDescent="0.3">
      <c r="A10" s="622">
        <v>1</v>
      </c>
      <c r="B10" s="623">
        <v>10970955</v>
      </c>
      <c r="C10" s="623">
        <v>6497.51</v>
      </c>
      <c r="D10" s="624">
        <v>1.05</v>
      </c>
      <c r="E10" s="625">
        <v>5.21</v>
      </c>
      <c r="F10" s="625">
        <v>6.76</v>
      </c>
      <c r="J10" s="611"/>
    </row>
    <row r="11" spans="1:10" ht="16.5" customHeight="1" x14ac:dyDescent="0.3">
      <c r="A11" s="622">
        <v>2</v>
      </c>
      <c r="B11" s="623">
        <v>10962119</v>
      </c>
      <c r="C11" s="623">
        <v>6501.15</v>
      </c>
      <c r="D11" s="624">
        <v>1.06</v>
      </c>
      <c r="E11" s="624">
        <v>5.22</v>
      </c>
      <c r="F11" s="624">
        <v>6.76</v>
      </c>
      <c r="J11" s="611"/>
    </row>
    <row r="12" spans="1:10" ht="16.5" customHeight="1" x14ac:dyDescent="0.3">
      <c r="A12" s="622">
        <v>3</v>
      </c>
      <c r="B12" s="623">
        <v>11011993</v>
      </c>
      <c r="C12" s="623">
        <v>6503.63</v>
      </c>
      <c r="D12" s="624">
        <v>1.06</v>
      </c>
      <c r="E12" s="624">
        <v>5.22</v>
      </c>
      <c r="F12" s="624">
        <v>6.76</v>
      </c>
      <c r="J12" s="611"/>
    </row>
    <row r="13" spans="1:10" ht="16.5" customHeight="1" x14ac:dyDescent="0.3">
      <c r="A13" s="622">
        <v>4</v>
      </c>
      <c r="B13" s="623">
        <v>10950768</v>
      </c>
      <c r="C13" s="623">
        <v>6507.19</v>
      </c>
      <c r="D13" s="624">
        <v>1.07</v>
      </c>
      <c r="E13" s="624">
        <v>5.22</v>
      </c>
      <c r="F13" s="624">
        <v>6.76</v>
      </c>
      <c r="J13" s="611"/>
    </row>
    <row r="14" spans="1:10" ht="16.5" customHeight="1" x14ac:dyDescent="0.3">
      <c r="A14" s="622">
        <v>5</v>
      </c>
      <c r="B14" s="623">
        <v>10993383</v>
      </c>
      <c r="C14" s="623">
        <v>6582.86</v>
      </c>
      <c r="D14" s="624">
        <v>1.08</v>
      </c>
      <c r="E14" s="624">
        <v>5.22</v>
      </c>
      <c r="F14" s="624">
        <v>6.76</v>
      </c>
      <c r="J14" s="611"/>
    </row>
    <row r="15" spans="1:10" ht="16.5" customHeight="1" x14ac:dyDescent="0.3">
      <c r="A15" s="622">
        <v>6</v>
      </c>
      <c r="B15" s="626">
        <v>11025232</v>
      </c>
      <c r="C15" s="626">
        <v>6588.28</v>
      </c>
      <c r="D15" s="627">
        <v>1.08</v>
      </c>
      <c r="E15" s="627">
        <v>5.22</v>
      </c>
      <c r="F15" s="627">
        <v>6.76</v>
      </c>
      <c r="J15" s="611"/>
    </row>
    <row r="16" spans="1:10" ht="16.5" customHeight="1" x14ac:dyDescent="0.3">
      <c r="A16" s="628" t="s">
        <v>18</v>
      </c>
      <c r="B16" s="629">
        <f>AVERAGE(B10:B15)</f>
        <v>10985741.666666666</v>
      </c>
      <c r="C16" s="630">
        <f>AVERAGE(C10:C15)</f>
        <v>6530.1033333333335</v>
      </c>
      <c r="D16" s="631">
        <f>AVERAGE(D10:D15)</f>
        <v>1.0666666666666667</v>
      </c>
      <c r="E16" s="631">
        <f>AVERAGE(E10:E15)</f>
        <v>5.2183333333333328</v>
      </c>
      <c r="F16" s="631">
        <f>AVERAGE(F10:F15)</f>
        <v>6.7599999999999989</v>
      </c>
      <c r="J16" s="611"/>
    </row>
    <row r="17" spans="1:10" ht="16.5" customHeight="1" x14ac:dyDescent="0.3">
      <c r="A17" s="632" t="s">
        <v>19</v>
      </c>
      <c r="B17" s="633">
        <f>(STDEV(B10:B15)/B16)</f>
        <v>2.6715609896788436E-3</v>
      </c>
      <c r="C17" s="634"/>
      <c r="D17" s="634"/>
      <c r="E17" s="634"/>
      <c r="F17" s="635"/>
      <c r="J17" s="611"/>
    </row>
    <row r="18" spans="1:10" s="611" customFormat="1" ht="16.5" customHeight="1" x14ac:dyDescent="0.3">
      <c r="A18" s="636" t="s">
        <v>20</v>
      </c>
      <c r="B18" s="637">
        <f>COUNT(B10:B15)</f>
        <v>6</v>
      </c>
      <c r="C18" s="638"/>
      <c r="D18" s="639"/>
      <c r="E18" s="639"/>
      <c r="F18" s="640"/>
    </row>
    <row r="19" spans="1:10" s="611" customFormat="1" ht="15.75" customHeight="1" x14ac:dyDescent="0.25">
      <c r="A19" s="616"/>
      <c r="B19" s="616"/>
      <c r="C19" s="616"/>
      <c r="D19" s="616"/>
      <c r="E19" s="616"/>
    </row>
    <row r="20" spans="1:10" s="611" customFormat="1" ht="16.5" customHeight="1" x14ac:dyDescent="0.3">
      <c r="A20" s="617" t="s">
        <v>21</v>
      </c>
      <c r="B20" s="641" t="s">
        <v>22</v>
      </c>
      <c r="C20" s="642"/>
      <c r="D20" s="642"/>
      <c r="E20" s="642"/>
    </row>
    <row r="21" spans="1:10" ht="16.5" customHeight="1" x14ac:dyDescent="0.3">
      <c r="A21" s="617"/>
      <c r="B21" s="641" t="s">
        <v>23</v>
      </c>
      <c r="C21" s="642"/>
      <c r="D21" s="642"/>
      <c r="E21" s="642"/>
    </row>
    <row r="22" spans="1:10" ht="16.5" customHeight="1" x14ac:dyDescent="0.3">
      <c r="A22" s="617"/>
      <c r="B22" s="641" t="s">
        <v>24</v>
      </c>
      <c r="C22" s="642"/>
      <c r="D22" s="642"/>
      <c r="E22" s="642"/>
    </row>
    <row r="23" spans="1:10" s="611" customFormat="1" ht="15.75" customHeight="1" x14ac:dyDescent="0.3">
      <c r="A23" s="616"/>
      <c r="B23" s="696" t="s">
        <v>139</v>
      </c>
      <c r="C23" s="616"/>
      <c r="D23" s="616"/>
      <c r="E23" s="616"/>
      <c r="J23" s="646"/>
    </row>
    <row r="24" spans="1:10" s="611" customFormat="1" ht="15.75" customHeight="1" x14ac:dyDescent="0.25">
      <c r="A24" s="616"/>
      <c r="B24" s="616"/>
      <c r="C24" s="616"/>
      <c r="D24" s="616"/>
      <c r="E24" s="616"/>
      <c r="J24" s="646"/>
    </row>
    <row r="25" spans="1:10" s="611" customFormat="1" ht="16.5" customHeight="1" x14ac:dyDescent="0.3">
      <c r="A25" s="612" t="s">
        <v>1</v>
      </c>
      <c r="B25" s="613" t="s">
        <v>25</v>
      </c>
      <c r="J25" s="646"/>
    </row>
    <row r="26" spans="1:10" s="611" customFormat="1" ht="16.5" customHeight="1" x14ac:dyDescent="0.3">
      <c r="A26" s="617" t="s">
        <v>4</v>
      </c>
      <c r="B26" s="614" t="s">
        <v>132</v>
      </c>
      <c r="C26" s="616"/>
      <c r="D26" s="616"/>
      <c r="E26" s="616"/>
      <c r="J26" s="646"/>
    </row>
    <row r="27" spans="1:10" s="611" customFormat="1" ht="16.5" customHeight="1" x14ac:dyDescent="0.3">
      <c r="A27" s="617" t="s">
        <v>6</v>
      </c>
      <c r="B27" s="618">
        <v>99.8</v>
      </c>
      <c r="C27" s="616"/>
      <c r="D27" s="616"/>
      <c r="E27" s="616"/>
      <c r="J27" s="646"/>
    </row>
    <row r="28" spans="1:10" s="611" customFormat="1" ht="16.5" customHeight="1" x14ac:dyDescent="0.3">
      <c r="A28" s="614" t="s">
        <v>8</v>
      </c>
      <c r="B28" s="618">
        <v>19.97</v>
      </c>
      <c r="C28" s="616"/>
      <c r="D28" s="616"/>
      <c r="E28" s="616"/>
      <c r="J28" s="646"/>
    </row>
    <row r="29" spans="1:10" s="611" customFormat="1" ht="16.5" customHeight="1" x14ac:dyDescent="0.3">
      <c r="A29" s="614" t="s">
        <v>10</v>
      </c>
      <c r="B29" s="619">
        <f>19.97/100</f>
        <v>0.19969999999999999</v>
      </c>
      <c r="C29" s="616"/>
      <c r="D29" s="616"/>
      <c r="E29" s="616"/>
      <c r="J29" s="646"/>
    </row>
    <row r="30" spans="1:10" s="611" customFormat="1" ht="15.75" customHeight="1" x14ac:dyDescent="0.25">
      <c r="A30" s="616"/>
      <c r="B30" s="616"/>
      <c r="C30" s="616"/>
      <c r="D30" s="616"/>
      <c r="E30" s="616"/>
      <c r="J30" s="646"/>
    </row>
    <row r="31" spans="1:10" s="611" customFormat="1" ht="16.5" customHeight="1" x14ac:dyDescent="0.3">
      <c r="A31" s="620" t="s">
        <v>13</v>
      </c>
      <c r="B31" s="621" t="s">
        <v>14</v>
      </c>
      <c r="C31" s="620" t="s">
        <v>15</v>
      </c>
      <c r="D31" s="620" t="s">
        <v>16</v>
      </c>
      <c r="E31" s="620" t="s">
        <v>17</v>
      </c>
      <c r="F31" s="620" t="s">
        <v>144</v>
      </c>
      <c r="J31" s="646"/>
    </row>
    <row r="32" spans="1:10" s="611" customFormat="1" ht="16.5" customHeight="1" x14ac:dyDescent="0.3">
      <c r="A32" s="622">
        <v>1</v>
      </c>
      <c r="B32" s="623">
        <v>47447554</v>
      </c>
      <c r="C32" s="623">
        <v>6969.3</v>
      </c>
      <c r="D32" s="624">
        <v>1.1000000000000001</v>
      </c>
      <c r="E32" s="625">
        <v>8.6</v>
      </c>
      <c r="F32" s="625">
        <v>12.6</v>
      </c>
      <c r="J32" s="646"/>
    </row>
    <row r="33" spans="1:10" s="611" customFormat="1" ht="16.5" customHeight="1" x14ac:dyDescent="0.3">
      <c r="A33" s="622">
        <v>2</v>
      </c>
      <c r="B33" s="623">
        <v>47268146</v>
      </c>
      <c r="C33" s="623">
        <v>6949.5</v>
      </c>
      <c r="D33" s="624">
        <v>1.1000000000000001</v>
      </c>
      <c r="E33" s="624">
        <v>8.5</v>
      </c>
      <c r="F33" s="624">
        <v>12.6</v>
      </c>
      <c r="J33" s="646"/>
    </row>
    <row r="34" spans="1:10" s="611" customFormat="1" ht="16.5" customHeight="1" x14ac:dyDescent="0.3">
      <c r="A34" s="622">
        <v>3</v>
      </c>
      <c r="B34" s="623">
        <v>47287591</v>
      </c>
      <c r="C34" s="623">
        <v>6961.3</v>
      </c>
      <c r="D34" s="624">
        <v>1.1000000000000001</v>
      </c>
      <c r="E34" s="624">
        <v>8.5</v>
      </c>
      <c r="F34" s="624">
        <v>12.6</v>
      </c>
      <c r="J34" s="646"/>
    </row>
    <row r="35" spans="1:10" s="611" customFormat="1" ht="16.5" customHeight="1" x14ac:dyDescent="0.3">
      <c r="A35" s="622">
        <v>4</v>
      </c>
      <c r="B35" s="623">
        <v>47259989</v>
      </c>
      <c r="C35" s="623">
        <v>6979.9</v>
      </c>
      <c r="D35" s="624">
        <v>1.1000000000000001</v>
      </c>
      <c r="E35" s="624">
        <v>8.5</v>
      </c>
      <c r="F35" s="624">
        <v>12.6</v>
      </c>
      <c r="J35" s="646"/>
    </row>
    <row r="36" spans="1:10" s="611" customFormat="1" ht="16.5" customHeight="1" x14ac:dyDescent="0.3">
      <c r="A36" s="622">
        <v>5</v>
      </c>
      <c r="B36" s="623">
        <v>47385004</v>
      </c>
      <c r="C36" s="623">
        <v>6990.7</v>
      </c>
      <c r="D36" s="624">
        <v>1.1000000000000001</v>
      </c>
      <c r="E36" s="624">
        <v>8.5</v>
      </c>
      <c r="F36" s="624">
        <v>12.6</v>
      </c>
      <c r="J36" s="646"/>
    </row>
    <row r="37" spans="1:10" s="611" customFormat="1" ht="16.5" customHeight="1" x14ac:dyDescent="0.3">
      <c r="A37" s="622">
        <v>6</v>
      </c>
      <c r="B37" s="626">
        <v>47399219</v>
      </c>
      <c r="C37" s="626">
        <v>6972.6</v>
      </c>
      <c r="D37" s="627">
        <v>1.1000000000000001</v>
      </c>
      <c r="E37" s="627">
        <v>8.5</v>
      </c>
      <c r="F37" s="627">
        <v>12.6</v>
      </c>
      <c r="J37" s="646"/>
    </row>
    <row r="38" spans="1:10" s="611" customFormat="1" ht="16.5" customHeight="1" x14ac:dyDescent="0.3">
      <c r="A38" s="628" t="s">
        <v>18</v>
      </c>
      <c r="B38" s="629">
        <f>AVERAGE(B32:B37)</f>
        <v>47341250.5</v>
      </c>
      <c r="C38" s="630">
        <f>AVERAGE(C32:C37)</f>
        <v>6970.5499999999993</v>
      </c>
      <c r="D38" s="631">
        <f>AVERAGE(D32:D37)</f>
        <v>1.0999999999999999</v>
      </c>
      <c r="E38" s="631">
        <f>AVERAGE(E32:E37)</f>
        <v>8.5166666666666675</v>
      </c>
      <c r="F38" s="631">
        <f>AVERAGE(F32:F37)</f>
        <v>12.6</v>
      </c>
      <c r="J38" s="646"/>
    </row>
    <row r="39" spans="1:10" s="611" customFormat="1" ht="16.5" customHeight="1" x14ac:dyDescent="0.3">
      <c r="A39" s="632" t="s">
        <v>19</v>
      </c>
      <c r="B39" s="633">
        <f>(STDEV(B32:B37)/B38)</f>
        <v>1.6739992093610229E-3</v>
      </c>
      <c r="C39" s="634"/>
      <c r="D39" s="634"/>
      <c r="E39" s="635"/>
      <c r="J39" s="646"/>
    </row>
    <row r="40" spans="1:10" s="611" customFormat="1" ht="16.5" customHeight="1" x14ac:dyDescent="0.3">
      <c r="A40" s="636" t="s">
        <v>20</v>
      </c>
      <c r="B40" s="637">
        <f>COUNT(B32:B37)</f>
        <v>6</v>
      </c>
      <c r="C40" s="638"/>
      <c r="D40" s="639"/>
      <c r="E40" s="640"/>
    </row>
    <row r="41" spans="1:10" s="611" customFormat="1" ht="15.75" customHeight="1" x14ac:dyDescent="0.25">
      <c r="A41" s="616"/>
      <c r="B41" s="616"/>
      <c r="C41" s="616"/>
      <c r="D41" s="616"/>
      <c r="E41" s="616"/>
    </row>
    <row r="42" spans="1:10" s="611" customFormat="1" ht="16.5" customHeight="1" x14ac:dyDescent="0.3">
      <c r="A42" s="617" t="s">
        <v>21</v>
      </c>
      <c r="B42" s="641" t="s">
        <v>22</v>
      </c>
      <c r="C42" s="642"/>
      <c r="D42" s="642"/>
      <c r="E42" s="642"/>
    </row>
    <row r="43" spans="1:10" s="611" customFormat="1" ht="16.5" customHeight="1" x14ac:dyDescent="0.3">
      <c r="A43" s="617"/>
      <c r="B43" s="641" t="s">
        <v>23</v>
      </c>
      <c r="C43" s="642"/>
      <c r="D43" s="642"/>
      <c r="E43" s="642"/>
      <c r="J43" s="646"/>
    </row>
    <row r="44" spans="1:10" s="611" customFormat="1" ht="16.5" customHeight="1" x14ac:dyDescent="0.3">
      <c r="A44" s="617"/>
      <c r="B44" s="641" t="s">
        <v>24</v>
      </c>
      <c r="C44" s="642"/>
      <c r="D44" s="642"/>
      <c r="E44" s="642"/>
      <c r="J44" s="646"/>
    </row>
    <row r="45" spans="1:10" s="611" customFormat="1" ht="14.25" customHeight="1" thickBot="1" x14ac:dyDescent="0.35">
      <c r="A45" s="643"/>
      <c r="B45" s="696" t="s">
        <v>145</v>
      </c>
      <c r="D45" s="645"/>
      <c r="F45" s="646"/>
      <c r="G45" s="646"/>
      <c r="J45" s="646"/>
    </row>
    <row r="46" spans="1:10" s="611" customFormat="1" ht="15" customHeight="1" x14ac:dyDescent="0.3">
      <c r="B46" s="701" t="s">
        <v>26</v>
      </c>
      <c r="C46" s="701"/>
      <c r="E46" s="697" t="s">
        <v>27</v>
      </c>
      <c r="F46" s="647"/>
      <c r="G46" s="697" t="s">
        <v>28</v>
      </c>
      <c r="J46" s="646"/>
    </row>
    <row r="47" spans="1:10" s="611" customFormat="1" ht="15" customHeight="1" x14ac:dyDescent="0.3">
      <c r="A47" s="648" t="s">
        <v>29</v>
      </c>
      <c r="B47" s="649" t="s">
        <v>142</v>
      </c>
      <c r="C47" s="649"/>
      <c r="E47" s="649" t="s">
        <v>143</v>
      </c>
      <c r="G47" s="649"/>
      <c r="J47" s="646"/>
    </row>
    <row r="48" spans="1:10" s="611" customFormat="1" ht="15" customHeight="1" x14ac:dyDescent="0.3">
      <c r="A48" s="648" t="s">
        <v>30</v>
      </c>
      <c r="B48" s="650"/>
      <c r="C48" s="650"/>
      <c r="E48" s="650"/>
      <c r="G48" s="651"/>
      <c r="J48" s="646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9" workbookViewId="0">
      <selection activeCell="C32" sqref="C32:C37"/>
    </sheetView>
  </sheetViews>
  <sheetFormatPr defaultRowHeight="13.5" x14ac:dyDescent="0.25"/>
  <cols>
    <col min="1" max="1" width="27.5703125" style="652" customWidth="1"/>
    <col min="2" max="2" width="20.42578125" style="652" customWidth="1"/>
    <col min="3" max="3" width="31.85546875" style="652" customWidth="1"/>
    <col min="4" max="4" width="25.85546875" style="652" customWidth="1"/>
    <col min="5" max="5" width="25.7109375" style="652" customWidth="1"/>
    <col min="6" max="6" width="23.140625" style="652" customWidth="1"/>
    <col min="7" max="7" width="28.42578125" style="652" customWidth="1"/>
    <col min="8" max="8" width="21.5703125" style="652" customWidth="1"/>
    <col min="9" max="9" width="9.140625" style="652" customWidth="1"/>
    <col min="10" max="16384" width="9.140625" style="653"/>
  </cols>
  <sheetData>
    <row r="1" spans="1:10" ht="18.75" customHeight="1" x14ac:dyDescent="0.3">
      <c r="A1" s="702" t="s">
        <v>0</v>
      </c>
      <c r="B1" s="702"/>
      <c r="C1" s="702"/>
      <c r="D1" s="702"/>
      <c r="E1" s="702"/>
    </row>
    <row r="2" spans="1:10" ht="16.5" customHeight="1" x14ac:dyDescent="0.3">
      <c r="A2" s="654" t="s">
        <v>1</v>
      </c>
      <c r="B2" s="655" t="s">
        <v>2</v>
      </c>
    </row>
    <row r="3" spans="1:10" ht="16.5" customHeight="1" x14ac:dyDescent="0.3">
      <c r="A3" s="656" t="s">
        <v>3</v>
      </c>
      <c r="B3" s="656" t="s">
        <v>136</v>
      </c>
      <c r="D3" s="657"/>
      <c r="E3" s="658"/>
    </row>
    <row r="4" spans="1:10" ht="16.5" customHeight="1" x14ac:dyDescent="0.3">
      <c r="A4" s="659" t="s">
        <v>4</v>
      </c>
      <c r="B4" s="656" t="s">
        <v>134</v>
      </c>
      <c r="C4" s="658"/>
      <c r="D4" s="658"/>
      <c r="E4" s="658"/>
    </row>
    <row r="5" spans="1:10" ht="16.5" customHeight="1" x14ac:dyDescent="0.3">
      <c r="A5" s="659" t="s">
        <v>6</v>
      </c>
      <c r="B5" s="660">
        <f>[1]Zidovudine!B28</f>
        <v>99</v>
      </c>
      <c r="C5" s="658"/>
      <c r="D5" s="658"/>
      <c r="E5" s="658"/>
    </row>
    <row r="6" spans="1:10" ht="16.5" customHeight="1" x14ac:dyDescent="0.3">
      <c r="A6" s="656" t="s">
        <v>8</v>
      </c>
      <c r="B6" s="660">
        <f>[1]Zidovudine!D43</f>
        <v>28.1</v>
      </c>
      <c r="C6" s="658"/>
      <c r="D6" s="658"/>
      <c r="E6" s="658"/>
    </row>
    <row r="7" spans="1:10" ht="16.5" customHeight="1" x14ac:dyDescent="0.3">
      <c r="A7" s="656" t="s">
        <v>10</v>
      </c>
      <c r="B7" s="661">
        <f>B6/100</f>
        <v>0.28100000000000003</v>
      </c>
      <c r="C7" s="658"/>
      <c r="D7" s="658"/>
      <c r="E7" s="658"/>
    </row>
    <row r="8" spans="1:10" ht="15.75" customHeight="1" x14ac:dyDescent="0.25">
      <c r="A8" s="658"/>
      <c r="B8" s="658"/>
      <c r="C8" s="658"/>
      <c r="D8" s="658"/>
      <c r="E8" s="658"/>
    </row>
    <row r="9" spans="1:10" ht="16.5" customHeight="1" x14ac:dyDescent="0.3">
      <c r="A9" s="662" t="s">
        <v>13</v>
      </c>
      <c r="B9" s="663" t="s">
        <v>14</v>
      </c>
      <c r="C9" s="662" t="s">
        <v>15</v>
      </c>
      <c r="D9" s="662" t="s">
        <v>16</v>
      </c>
      <c r="E9" s="664" t="s">
        <v>17</v>
      </c>
      <c r="F9" s="664" t="s">
        <v>137</v>
      </c>
      <c r="J9" s="652"/>
    </row>
    <row r="10" spans="1:10" ht="16.5" customHeight="1" x14ac:dyDescent="0.3">
      <c r="A10" s="665">
        <v>1</v>
      </c>
      <c r="B10" s="666">
        <v>49705639</v>
      </c>
      <c r="C10" s="666">
        <v>6569.71</v>
      </c>
      <c r="D10" s="667">
        <v>1.1100000000000001</v>
      </c>
      <c r="E10" s="668">
        <v>3.72</v>
      </c>
      <c r="F10" s="668">
        <v>5.27</v>
      </c>
      <c r="J10" s="652"/>
    </row>
    <row r="11" spans="1:10" ht="16.5" customHeight="1" x14ac:dyDescent="0.3">
      <c r="A11" s="665">
        <v>2</v>
      </c>
      <c r="B11" s="666">
        <v>49650466</v>
      </c>
      <c r="C11" s="666">
        <v>6568.8</v>
      </c>
      <c r="D11" s="667">
        <v>1.1200000000000001</v>
      </c>
      <c r="E11" s="667">
        <v>3.72</v>
      </c>
      <c r="F11" s="667">
        <v>5.26</v>
      </c>
      <c r="J11" s="652"/>
    </row>
    <row r="12" spans="1:10" ht="16.5" customHeight="1" x14ac:dyDescent="0.3">
      <c r="A12" s="665">
        <v>3</v>
      </c>
      <c r="B12" s="666">
        <v>49879574</v>
      </c>
      <c r="C12" s="666">
        <v>6562.82</v>
      </c>
      <c r="D12" s="667">
        <v>1.1299999999999999</v>
      </c>
      <c r="E12" s="667">
        <v>3.72</v>
      </c>
      <c r="F12" s="667">
        <v>5.26</v>
      </c>
      <c r="J12" s="652"/>
    </row>
    <row r="13" spans="1:10" ht="16.5" customHeight="1" x14ac:dyDescent="0.3">
      <c r="A13" s="665">
        <v>4</v>
      </c>
      <c r="B13" s="666">
        <v>49613766</v>
      </c>
      <c r="C13" s="666">
        <v>6570.43</v>
      </c>
      <c r="D13" s="667">
        <v>1.1200000000000001</v>
      </c>
      <c r="E13" s="667">
        <v>3.72</v>
      </c>
      <c r="F13" s="667">
        <v>5.26</v>
      </c>
      <c r="J13" s="652"/>
    </row>
    <row r="14" spans="1:10" ht="16.5" customHeight="1" x14ac:dyDescent="0.3">
      <c r="A14" s="665">
        <v>5</v>
      </c>
      <c r="B14" s="666">
        <v>49802921</v>
      </c>
      <c r="C14" s="666">
        <v>6584.57</v>
      </c>
      <c r="D14" s="667">
        <v>1.0900000000000001</v>
      </c>
      <c r="E14" s="667">
        <v>3.73</v>
      </c>
      <c r="F14" s="667">
        <v>5.28</v>
      </c>
      <c r="J14" s="652"/>
    </row>
    <row r="15" spans="1:10" ht="16.5" customHeight="1" x14ac:dyDescent="0.3">
      <c r="A15" s="665">
        <v>6</v>
      </c>
      <c r="B15" s="669">
        <v>49931197</v>
      </c>
      <c r="C15" s="669">
        <v>6578.47</v>
      </c>
      <c r="D15" s="670">
        <v>1.0900000000000001</v>
      </c>
      <c r="E15" s="670">
        <v>3.73</v>
      </c>
      <c r="F15" s="670">
        <v>5.28</v>
      </c>
      <c r="J15" s="652"/>
    </row>
    <row r="16" spans="1:10" ht="16.5" customHeight="1" x14ac:dyDescent="0.3">
      <c r="A16" s="671" t="s">
        <v>18</v>
      </c>
      <c r="B16" s="672">
        <f>AVERAGE(B10:B15)</f>
        <v>49763927.166666664</v>
      </c>
      <c r="C16" s="673">
        <f>AVERAGE(C10:C15)</f>
        <v>6572.4666666666672</v>
      </c>
      <c r="D16" s="674">
        <f>AVERAGE(D10:D15)</f>
        <v>1.1100000000000001</v>
      </c>
      <c r="E16" s="674">
        <f>AVERAGE(E10:E15)</f>
        <v>3.7233333333333332</v>
      </c>
      <c r="F16" s="674">
        <f>AVERAGE(F10:F15)</f>
        <v>5.2683333333333335</v>
      </c>
      <c r="J16" s="652"/>
    </row>
    <row r="17" spans="1:10" ht="16.5" customHeight="1" x14ac:dyDescent="0.3">
      <c r="A17" s="675" t="s">
        <v>19</v>
      </c>
      <c r="B17" s="676">
        <f>(STDEV(B10:B15)/B16)</f>
        <v>2.568581693665107E-3</v>
      </c>
      <c r="C17" s="677"/>
      <c r="D17" s="677"/>
      <c r="E17" s="677"/>
      <c r="F17" s="678"/>
      <c r="J17" s="652"/>
    </row>
    <row r="18" spans="1:10" s="652" customFormat="1" ht="16.5" customHeight="1" x14ac:dyDescent="0.3">
      <c r="A18" s="679" t="s">
        <v>20</v>
      </c>
      <c r="B18" s="680">
        <f>COUNT(B10:B15)</f>
        <v>6</v>
      </c>
      <c r="C18" s="681"/>
      <c r="D18" s="682"/>
      <c r="E18" s="682"/>
      <c r="F18" s="683"/>
    </row>
    <row r="19" spans="1:10" s="652" customFormat="1" ht="15.75" customHeight="1" x14ac:dyDescent="0.25">
      <c r="A19" s="658"/>
      <c r="B19" s="658"/>
      <c r="C19" s="658"/>
      <c r="D19" s="658"/>
      <c r="E19" s="658"/>
    </row>
    <row r="20" spans="1:10" s="652" customFormat="1" ht="16.5" customHeight="1" x14ac:dyDescent="0.3">
      <c r="A20" s="659" t="s">
        <v>21</v>
      </c>
      <c r="B20" s="684" t="s">
        <v>22</v>
      </c>
      <c r="C20" s="685"/>
      <c r="D20" s="685"/>
      <c r="E20" s="685"/>
    </row>
    <row r="21" spans="1:10" ht="16.5" customHeight="1" x14ac:dyDescent="0.3">
      <c r="A21" s="659"/>
      <c r="B21" s="684" t="s">
        <v>23</v>
      </c>
      <c r="C21" s="685"/>
      <c r="D21" s="685"/>
      <c r="E21" s="685"/>
    </row>
    <row r="22" spans="1:10" ht="16.5" customHeight="1" x14ac:dyDescent="0.3">
      <c r="A22" s="659"/>
      <c r="B22" s="684" t="s">
        <v>24</v>
      </c>
      <c r="C22" s="685"/>
      <c r="D22" s="685"/>
      <c r="E22" s="685"/>
    </row>
    <row r="23" spans="1:10" s="652" customFormat="1" ht="15.75" customHeight="1" x14ac:dyDescent="0.3">
      <c r="A23" s="658"/>
      <c r="B23" s="686" t="s">
        <v>138</v>
      </c>
      <c r="C23" s="658"/>
      <c r="D23" s="658"/>
      <c r="E23" s="658"/>
      <c r="J23" s="653"/>
    </row>
    <row r="24" spans="1:10" s="652" customFormat="1" ht="15.75" customHeight="1" x14ac:dyDescent="0.25">
      <c r="A24" s="658"/>
      <c r="B24" s="658"/>
      <c r="C24" s="658"/>
      <c r="D24" s="658"/>
      <c r="E24" s="658"/>
      <c r="J24" s="653"/>
    </row>
    <row r="25" spans="1:10" s="652" customFormat="1" ht="16.5" customHeight="1" x14ac:dyDescent="0.3">
      <c r="A25" s="654" t="s">
        <v>1</v>
      </c>
      <c r="B25" s="655" t="s">
        <v>25</v>
      </c>
      <c r="J25" s="653"/>
    </row>
    <row r="26" spans="1:10" s="652" customFormat="1" ht="16.5" customHeight="1" x14ac:dyDescent="0.3">
      <c r="A26" s="659" t="s">
        <v>4</v>
      </c>
      <c r="B26" s="656" t="s">
        <v>134</v>
      </c>
      <c r="C26" s="658"/>
      <c r="D26" s="658"/>
      <c r="E26" s="658"/>
      <c r="J26" s="653"/>
    </row>
    <row r="27" spans="1:10" s="652" customFormat="1" ht="16.5" customHeight="1" x14ac:dyDescent="0.3">
      <c r="A27" s="659" t="s">
        <v>6</v>
      </c>
      <c r="B27" s="660">
        <v>99</v>
      </c>
      <c r="C27" s="658"/>
      <c r="D27" s="658"/>
      <c r="E27" s="658"/>
      <c r="J27" s="653"/>
    </row>
    <row r="28" spans="1:10" s="652" customFormat="1" ht="16.5" customHeight="1" x14ac:dyDescent="0.3">
      <c r="A28" s="656" t="s">
        <v>8</v>
      </c>
      <c r="B28" s="660">
        <v>29.76</v>
      </c>
      <c r="C28" s="658"/>
      <c r="D28" s="658"/>
      <c r="E28" s="658"/>
      <c r="J28" s="653"/>
    </row>
    <row r="29" spans="1:10" s="652" customFormat="1" ht="16.5" customHeight="1" x14ac:dyDescent="0.3">
      <c r="A29" s="656" t="s">
        <v>10</v>
      </c>
      <c r="B29" s="661">
        <f>29.76/100</f>
        <v>0.29760000000000003</v>
      </c>
      <c r="C29" s="658"/>
      <c r="D29" s="658"/>
      <c r="E29" s="658"/>
      <c r="J29" s="653"/>
    </row>
    <row r="30" spans="1:10" s="652" customFormat="1" ht="15.75" customHeight="1" x14ac:dyDescent="0.25">
      <c r="A30" s="658"/>
      <c r="B30" s="658"/>
      <c r="C30" s="658"/>
      <c r="D30" s="658"/>
      <c r="E30" s="658"/>
      <c r="J30" s="653"/>
    </row>
    <row r="31" spans="1:10" s="652" customFormat="1" ht="16.5" customHeight="1" x14ac:dyDescent="0.3">
      <c r="A31" s="662" t="s">
        <v>13</v>
      </c>
      <c r="B31" s="663" t="s">
        <v>14</v>
      </c>
      <c r="C31" s="662" t="s">
        <v>15</v>
      </c>
      <c r="D31" s="662" t="s">
        <v>16</v>
      </c>
      <c r="E31" s="662" t="s">
        <v>17</v>
      </c>
      <c r="F31" s="662" t="s">
        <v>144</v>
      </c>
      <c r="J31" s="653"/>
    </row>
    <row r="32" spans="1:10" s="652" customFormat="1" ht="16.5" customHeight="1" x14ac:dyDescent="0.3">
      <c r="A32" s="665">
        <v>1</v>
      </c>
      <c r="B32" s="666">
        <v>93717691</v>
      </c>
      <c r="C32" s="753">
        <v>6981.1</v>
      </c>
      <c r="D32" s="667">
        <v>1.1000000000000001</v>
      </c>
      <c r="E32" s="668">
        <v>4.5999999999999996</v>
      </c>
      <c r="F32" s="668">
        <v>8.1999999999999993</v>
      </c>
      <c r="J32" s="653"/>
    </row>
    <row r="33" spans="1:10" s="652" customFormat="1" ht="16.5" customHeight="1" x14ac:dyDescent="0.3">
      <c r="A33" s="665">
        <v>2</v>
      </c>
      <c r="B33" s="666">
        <v>93372122</v>
      </c>
      <c r="C33" s="753">
        <v>7006.5</v>
      </c>
      <c r="D33" s="667">
        <v>1.1000000000000001</v>
      </c>
      <c r="E33" s="667">
        <v>4.5999999999999996</v>
      </c>
      <c r="F33" s="667">
        <v>8.1999999999999993</v>
      </c>
      <c r="J33" s="653"/>
    </row>
    <row r="34" spans="1:10" s="652" customFormat="1" ht="16.5" customHeight="1" x14ac:dyDescent="0.3">
      <c r="A34" s="665">
        <v>3</v>
      </c>
      <c r="B34" s="666">
        <v>93381491</v>
      </c>
      <c r="C34" s="753">
        <v>7012.8</v>
      </c>
      <c r="D34" s="667">
        <v>1.1000000000000001</v>
      </c>
      <c r="E34" s="667">
        <v>4.5999999999999996</v>
      </c>
      <c r="F34" s="667">
        <v>8.1999999999999993</v>
      </c>
      <c r="J34" s="653"/>
    </row>
    <row r="35" spans="1:10" s="652" customFormat="1" ht="16.5" customHeight="1" x14ac:dyDescent="0.3">
      <c r="A35" s="665">
        <v>4</v>
      </c>
      <c r="B35" s="666">
        <v>93338067</v>
      </c>
      <c r="C35" s="753">
        <v>7019.6</v>
      </c>
      <c r="D35" s="667">
        <v>1.1000000000000001</v>
      </c>
      <c r="E35" s="667">
        <v>4.5999999999999996</v>
      </c>
      <c r="F35" s="667">
        <v>8.1999999999999993</v>
      </c>
      <c r="J35" s="653"/>
    </row>
    <row r="36" spans="1:10" s="652" customFormat="1" ht="16.5" customHeight="1" x14ac:dyDescent="0.3">
      <c r="A36" s="665">
        <v>5</v>
      </c>
      <c r="B36" s="666">
        <v>93532701</v>
      </c>
      <c r="C36" s="753">
        <v>7023.6</v>
      </c>
      <c r="D36" s="667">
        <v>1.1000000000000001</v>
      </c>
      <c r="E36" s="667">
        <v>4.5999999999999996</v>
      </c>
      <c r="F36" s="667">
        <v>8.1999999999999993</v>
      </c>
      <c r="J36" s="653"/>
    </row>
    <row r="37" spans="1:10" s="652" customFormat="1" ht="16.5" customHeight="1" x14ac:dyDescent="0.3">
      <c r="A37" s="665">
        <v>6</v>
      </c>
      <c r="B37" s="669">
        <v>93566264</v>
      </c>
      <c r="C37" s="754">
        <v>7034.5</v>
      </c>
      <c r="D37" s="670">
        <v>1.1000000000000001</v>
      </c>
      <c r="E37" s="670">
        <v>4.5999999999999996</v>
      </c>
      <c r="F37" s="670">
        <v>8.1999999999999993</v>
      </c>
      <c r="J37" s="653"/>
    </row>
    <row r="38" spans="1:10" s="652" customFormat="1" ht="16.5" customHeight="1" x14ac:dyDescent="0.3">
      <c r="A38" s="671" t="s">
        <v>18</v>
      </c>
      <c r="B38" s="672">
        <f>AVERAGE(B32:B37)</f>
        <v>93484722.666666672</v>
      </c>
      <c r="C38" s="673">
        <f>AVERAGE(C32:C37)</f>
        <v>7013.0166666666664</v>
      </c>
      <c r="D38" s="674">
        <f>AVERAGE(D32:D37)</f>
        <v>1.0999999999999999</v>
      </c>
      <c r="E38" s="674">
        <f>AVERAGE(E32:E37)</f>
        <v>4.6000000000000005</v>
      </c>
      <c r="F38" s="674">
        <f>AVERAGE(F32:F37)</f>
        <v>8.2000000000000011</v>
      </c>
      <c r="J38" s="653"/>
    </row>
    <row r="39" spans="1:10" s="652" customFormat="1" ht="16.5" customHeight="1" x14ac:dyDescent="0.3">
      <c r="A39" s="675" t="s">
        <v>19</v>
      </c>
      <c r="B39" s="676">
        <f>(STDEV(B32:B37)/B38)</f>
        <v>1.5726220793075328E-3</v>
      </c>
      <c r="C39" s="677"/>
      <c r="D39" s="677"/>
      <c r="E39" s="678"/>
      <c r="F39" s="678"/>
      <c r="J39" s="653"/>
    </row>
    <row r="40" spans="1:10" s="652" customFormat="1" ht="16.5" customHeight="1" x14ac:dyDescent="0.3">
      <c r="A40" s="679" t="s">
        <v>20</v>
      </c>
      <c r="B40" s="680">
        <f>COUNT(B32:B37)</f>
        <v>6</v>
      </c>
      <c r="C40" s="681"/>
      <c r="D40" s="682"/>
      <c r="E40" s="683"/>
      <c r="F40" s="683"/>
    </row>
    <row r="41" spans="1:10" s="652" customFormat="1" ht="15.75" customHeight="1" x14ac:dyDescent="0.25">
      <c r="A41" s="658"/>
      <c r="B41" s="658"/>
      <c r="C41" s="658"/>
      <c r="D41" s="658"/>
      <c r="E41" s="658"/>
    </row>
    <row r="42" spans="1:10" s="652" customFormat="1" ht="16.5" customHeight="1" x14ac:dyDescent="0.3">
      <c r="A42" s="659" t="s">
        <v>21</v>
      </c>
      <c r="B42" s="684" t="s">
        <v>22</v>
      </c>
      <c r="C42" s="685"/>
      <c r="D42" s="685"/>
      <c r="E42" s="685"/>
    </row>
    <row r="43" spans="1:10" s="652" customFormat="1" ht="16.5" customHeight="1" x14ac:dyDescent="0.3">
      <c r="A43" s="659"/>
      <c r="B43" s="684" t="s">
        <v>23</v>
      </c>
      <c r="C43" s="685"/>
      <c r="D43" s="685"/>
      <c r="E43" s="685"/>
      <c r="J43" s="653"/>
    </row>
    <row r="44" spans="1:10" s="652" customFormat="1" ht="16.5" customHeight="1" x14ac:dyDescent="0.3">
      <c r="A44" s="659"/>
      <c r="B44" s="684" t="s">
        <v>24</v>
      </c>
      <c r="C44" s="685"/>
      <c r="D44" s="685"/>
      <c r="E44" s="685"/>
      <c r="J44" s="653"/>
    </row>
    <row r="45" spans="1:10" s="652" customFormat="1" ht="14.25" customHeight="1" thickBot="1" x14ac:dyDescent="0.35">
      <c r="A45" s="687"/>
      <c r="B45" s="686" t="s">
        <v>146</v>
      </c>
      <c r="D45" s="688"/>
      <c r="F45" s="653"/>
      <c r="G45" s="653"/>
      <c r="J45" s="653"/>
    </row>
    <row r="46" spans="1:10" s="652" customFormat="1" ht="15" customHeight="1" x14ac:dyDescent="0.3">
      <c r="B46" s="703" t="s">
        <v>26</v>
      </c>
      <c r="C46" s="703"/>
      <c r="E46" s="698" t="s">
        <v>27</v>
      </c>
      <c r="F46" s="689"/>
      <c r="G46" s="698" t="s">
        <v>28</v>
      </c>
      <c r="J46" s="653"/>
    </row>
    <row r="47" spans="1:10" s="652" customFormat="1" ht="15" customHeight="1" x14ac:dyDescent="0.3">
      <c r="A47" s="690" t="s">
        <v>29</v>
      </c>
      <c r="B47" s="691" t="s">
        <v>142</v>
      </c>
      <c r="C47" s="691"/>
      <c r="E47" s="691" t="s">
        <v>143</v>
      </c>
      <c r="G47" s="691"/>
      <c r="J47" s="653"/>
    </row>
    <row r="48" spans="1:10" s="652" customFormat="1" ht="15" customHeight="1" x14ac:dyDescent="0.3">
      <c r="A48" s="690" t="s">
        <v>30</v>
      </c>
      <c r="B48" s="692"/>
      <c r="C48" s="692"/>
      <c r="E48" s="692"/>
      <c r="G48" s="693"/>
      <c r="J48" s="65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6:C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07" t="s">
        <v>31</v>
      </c>
      <c r="B11" s="708"/>
      <c r="C11" s="708"/>
      <c r="D11" s="708"/>
      <c r="E11" s="708"/>
      <c r="F11" s="709"/>
      <c r="G11" s="43"/>
    </row>
    <row r="12" spans="1:7" ht="16.5" customHeight="1" x14ac:dyDescent="0.3">
      <c r="A12" s="706" t="s">
        <v>32</v>
      </c>
      <c r="B12" s="706"/>
      <c r="C12" s="706"/>
      <c r="D12" s="706"/>
      <c r="E12" s="706"/>
      <c r="F12" s="706"/>
      <c r="G12" s="42"/>
    </row>
    <row r="14" spans="1:7" ht="16.5" customHeight="1" x14ac:dyDescent="0.3">
      <c r="A14" s="711" t="s">
        <v>33</v>
      </c>
      <c r="B14" s="711"/>
      <c r="C14" s="12" t="s">
        <v>5</v>
      </c>
    </row>
    <row r="15" spans="1:7" ht="16.5" customHeight="1" x14ac:dyDescent="0.3">
      <c r="A15" s="711" t="s">
        <v>34</v>
      </c>
      <c r="B15" s="711"/>
      <c r="C15" s="12" t="s">
        <v>7</v>
      </c>
    </row>
    <row r="16" spans="1:7" ht="16.5" customHeight="1" x14ac:dyDescent="0.3">
      <c r="A16" s="711" t="s">
        <v>35</v>
      </c>
      <c r="B16" s="711"/>
      <c r="C16" s="12" t="s">
        <v>9</v>
      </c>
    </row>
    <row r="17" spans="1:5" ht="16.5" customHeight="1" x14ac:dyDescent="0.3">
      <c r="A17" s="711" t="s">
        <v>36</v>
      </c>
      <c r="B17" s="711"/>
      <c r="C17" s="12" t="s">
        <v>11</v>
      </c>
    </row>
    <row r="18" spans="1:5" ht="16.5" customHeight="1" x14ac:dyDescent="0.3">
      <c r="A18" s="711" t="s">
        <v>37</v>
      </c>
      <c r="B18" s="711"/>
      <c r="C18" s="49" t="s">
        <v>12</v>
      </c>
    </row>
    <row r="19" spans="1:5" ht="16.5" customHeight="1" x14ac:dyDescent="0.3">
      <c r="A19" s="711" t="s">
        <v>38</v>
      </c>
      <c r="B19" s="71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6" t="s">
        <v>1</v>
      </c>
      <c r="B21" s="706"/>
      <c r="C21" s="11" t="s">
        <v>39</v>
      </c>
      <c r="D21" s="18"/>
    </row>
    <row r="22" spans="1:5" ht="15.75" customHeight="1" x14ac:dyDescent="0.3">
      <c r="A22" s="710"/>
      <c r="B22" s="710"/>
      <c r="C22" s="9"/>
      <c r="D22" s="710"/>
      <c r="E22" s="71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1240.99</v>
      </c>
      <c r="D24" s="39">
        <f t="shared" ref="D24:D43" si="0">(C24-$C$46)/$C$46</f>
        <v>8.0015335392673893E-3</v>
      </c>
      <c r="E24" s="5"/>
    </row>
    <row r="25" spans="1:5" ht="15.75" customHeight="1" x14ac:dyDescent="0.3">
      <c r="C25" s="47">
        <v>1228.95</v>
      </c>
      <c r="D25" s="40">
        <f t="shared" si="0"/>
        <v>-1.7780283136184063E-3</v>
      </c>
      <c r="E25" s="5"/>
    </row>
    <row r="26" spans="1:5" ht="15.75" customHeight="1" x14ac:dyDescent="0.3">
      <c r="C26" s="47">
        <v>1226.81</v>
      </c>
      <c r="D26" s="40">
        <f t="shared" si="0"/>
        <v>-3.5162560848124797E-3</v>
      </c>
      <c r="E26" s="5"/>
    </row>
    <row r="27" spans="1:5" ht="15.75" customHeight="1" x14ac:dyDescent="0.3">
      <c r="C27" s="47">
        <v>1215.8699999999999</v>
      </c>
      <c r="D27" s="40">
        <f t="shared" si="0"/>
        <v>-1.2402336373065922E-2</v>
      </c>
      <c r="E27" s="5"/>
    </row>
    <row r="28" spans="1:5" ht="15.75" customHeight="1" x14ac:dyDescent="0.3">
      <c r="C28" s="47">
        <v>1229.06</v>
      </c>
      <c r="D28" s="40">
        <f t="shared" si="0"/>
        <v>-1.6886801571552449E-3</v>
      </c>
      <c r="E28" s="5"/>
    </row>
    <row r="29" spans="1:5" ht="15.75" customHeight="1" x14ac:dyDescent="0.3">
      <c r="C29" s="47">
        <v>1256.07</v>
      </c>
      <c r="D29" s="40">
        <f t="shared" si="0"/>
        <v>2.0250353534410039E-2</v>
      </c>
      <c r="E29" s="5"/>
    </row>
    <row r="30" spans="1:5" ht="15.75" customHeight="1" x14ac:dyDescent="0.3">
      <c r="C30" s="47">
        <v>1236.83</v>
      </c>
      <c r="D30" s="40">
        <f t="shared" si="0"/>
        <v>4.6225487130210569E-3</v>
      </c>
      <c r="E30" s="5"/>
    </row>
    <row r="31" spans="1:5" ht="15.75" customHeight="1" x14ac:dyDescent="0.3">
      <c r="C31" s="47">
        <v>1211.29</v>
      </c>
      <c r="D31" s="40">
        <f t="shared" si="0"/>
        <v>-1.6122468705808145E-2</v>
      </c>
      <c r="E31" s="5"/>
    </row>
    <row r="32" spans="1:5" ht="15.75" customHeight="1" x14ac:dyDescent="0.3">
      <c r="C32" s="47">
        <v>1241.6500000000001</v>
      </c>
      <c r="D32" s="40">
        <f t="shared" si="0"/>
        <v>8.537622478046911E-3</v>
      </c>
      <c r="E32" s="5"/>
    </row>
    <row r="33" spans="1:7" ht="15.75" customHeight="1" x14ac:dyDescent="0.3">
      <c r="C33" s="47">
        <v>1242.8699999999999</v>
      </c>
      <c r="D33" s="40">
        <f t="shared" si="0"/>
        <v>9.528574758820893E-3</v>
      </c>
      <c r="E33" s="5"/>
    </row>
    <row r="34" spans="1:7" ht="15.75" customHeight="1" x14ac:dyDescent="0.3">
      <c r="C34" s="47">
        <v>1239.57</v>
      </c>
      <c r="D34" s="40">
        <f t="shared" si="0"/>
        <v>6.8481300649236524E-3</v>
      </c>
      <c r="E34" s="5"/>
    </row>
    <row r="35" spans="1:7" ht="15.75" customHeight="1" x14ac:dyDescent="0.3">
      <c r="C35" s="47">
        <v>1211.18</v>
      </c>
      <c r="D35" s="40">
        <f t="shared" si="0"/>
        <v>-1.6211816862271307E-2</v>
      </c>
      <c r="E35" s="5"/>
    </row>
    <row r="36" spans="1:7" ht="15.75" customHeight="1" x14ac:dyDescent="0.3">
      <c r="C36" s="47">
        <v>1233.49</v>
      </c>
      <c r="D36" s="40">
        <f t="shared" si="0"/>
        <v>1.9096137804099399E-3</v>
      </c>
      <c r="E36" s="5"/>
    </row>
    <row r="37" spans="1:7" ht="15.75" customHeight="1" x14ac:dyDescent="0.3">
      <c r="C37" s="47">
        <v>1229.96</v>
      </c>
      <c r="D37" s="40">
        <f t="shared" si="0"/>
        <v>-9.5764978609227719E-4</v>
      </c>
      <c r="E37" s="5"/>
    </row>
    <row r="38" spans="1:7" ht="15.75" customHeight="1" x14ac:dyDescent="0.3">
      <c r="C38" s="47">
        <v>1226.79</v>
      </c>
      <c r="D38" s="40">
        <f t="shared" si="0"/>
        <v>-3.5325012041694179E-3</v>
      </c>
      <c r="E38" s="5"/>
    </row>
    <row r="39" spans="1:7" ht="15.75" customHeight="1" x14ac:dyDescent="0.3">
      <c r="C39" s="47">
        <v>1223.07</v>
      </c>
      <c r="D39" s="40">
        <f t="shared" si="0"/>
        <v>-6.5540934045627344E-3</v>
      </c>
      <c r="E39" s="5"/>
    </row>
    <row r="40" spans="1:7" ht="15.75" customHeight="1" x14ac:dyDescent="0.3">
      <c r="C40" s="47">
        <v>1220.6400000000001</v>
      </c>
      <c r="D40" s="40">
        <f t="shared" si="0"/>
        <v>-8.5278754064324145E-3</v>
      </c>
      <c r="E40" s="5"/>
    </row>
    <row r="41" spans="1:7" ht="15.75" customHeight="1" x14ac:dyDescent="0.3">
      <c r="C41" s="47">
        <v>1234.43</v>
      </c>
      <c r="D41" s="40">
        <f t="shared" si="0"/>
        <v>2.6731343901867845E-3</v>
      </c>
      <c r="E41" s="5"/>
    </row>
    <row r="42" spans="1:7" ht="15.75" customHeight="1" x14ac:dyDescent="0.3">
      <c r="C42" s="47">
        <v>1241.96</v>
      </c>
      <c r="D42" s="40">
        <f t="shared" si="0"/>
        <v>8.7894218280796417E-3</v>
      </c>
      <c r="E42" s="5"/>
    </row>
    <row r="43" spans="1:7" ht="16.5" customHeight="1" x14ac:dyDescent="0.3">
      <c r="C43" s="48">
        <v>1231.3</v>
      </c>
      <c r="D43" s="41">
        <f t="shared" si="0"/>
        <v>1.3077321082352052E-4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24622.78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1231.1389999999999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4">
        <f>C46</f>
        <v>1231.1389999999999</v>
      </c>
      <c r="C49" s="45">
        <f>-IF(C46&lt;=80,10%,IF(C46&lt;250,7.5%,5%))</f>
        <v>-0.05</v>
      </c>
      <c r="D49" s="33">
        <f>IF(C46&lt;=80,C46*0.9,IF(C46&lt;250,C46*0.925,C46*0.95))</f>
        <v>1169.5820499999998</v>
      </c>
    </row>
    <row r="50" spans="1:6" ht="17.25" customHeight="1" x14ac:dyDescent="0.3">
      <c r="B50" s="705"/>
      <c r="C50" s="46">
        <f>IF(C46&lt;=80, 10%, IF(C46&lt;250, 7.5%, 5%))</f>
        <v>0.05</v>
      </c>
      <c r="D50" s="33">
        <f>IF(C46&lt;=80, C46*1.1, IF(C46&lt;250, C46*1.075, C46*1.05))</f>
        <v>1292.69595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0" workbookViewId="0">
      <selection activeCell="F66" sqref="F6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50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52" t="s">
        <v>33</v>
      </c>
      <c r="B18" s="752" t="s">
        <v>5</v>
      </c>
      <c r="C18" s="75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49" t="s">
        <v>9</v>
      </c>
      <c r="C20" s="74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56"/>
    </row>
    <row r="22" spans="1:14" ht="26.25" customHeight="1" x14ac:dyDescent="0.4">
      <c r="A22" s="52" t="s">
        <v>37</v>
      </c>
      <c r="B22" s="57">
        <v>42676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42684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4" t="s">
        <v>131</v>
      </c>
      <c r="C26" s="744"/>
    </row>
    <row r="27" spans="1:14" ht="26.25" customHeight="1" x14ac:dyDescent="0.4">
      <c r="A27" s="61" t="s">
        <v>48</v>
      </c>
      <c r="B27" s="750" t="s">
        <v>147</v>
      </c>
      <c r="C27" s="750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720" t="s">
        <v>50</v>
      </c>
      <c r="D29" s="721"/>
      <c r="E29" s="721"/>
      <c r="F29" s="721"/>
      <c r="G29" s="72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23" t="s">
        <v>53</v>
      </c>
      <c r="D31" s="724"/>
      <c r="E31" s="724"/>
      <c r="F31" s="724"/>
      <c r="G31" s="724"/>
      <c r="H31" s="72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23" t="s">
        <v>55</v>
      </c>
      <c r="D32" s="724"/>
      <c r="E32" s="724"/>
      <c r="F32" s="724"/>
      <c r="G32" s="724"/>
      <c r="H32" s="72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726" t="s">
        <v>59</v>
      </c>
      <c r="E36" s="751"/>
      <c r="F36" s="726" t="s">
        <v>60</v>
      </c>
      <c r="G36" s="72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32508376</v>
      </c>
      <c r="E38" s="85">
        <f>IF(ISBLANK(D38),"-",$D$48/$D$45*D38)</f>
        <v>30200681.523431547</v>
      </c>
      <c r="F38" s="84">
        <v>36080426</v>
      </c>
      <c r="G38" s="86">
        <f>IF(ISBLANK(F38),"-",$D$48/$F$45*F38)</f>
        <v>29946238.504697718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32501130</v>
      </c>
      <c r="E39" s="90">
        <f>IF(ISBLANK(D39),"-",$D$48/$D$45*D39)</f>
        <v>30193949.900224075</v>
      </c>
      <c r="F39" s="89">
        <v>36380270</v>
      </c>
      <c r="G39" s="91">
        <f>IF(ISBLANK(F39),"-",$D$48/$F$45*F39)</f>
        <v>30195104.744198401</v>
      </c>
      <c r="I39" s="728">
        <f>ABS((F43/D43*D42)-F42)/D42</f>
        <v>7.1423936731146867E-3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32755274</v>
      </c>
      <c r="E40" s="90">
        <f>IF(ISBLANK(D40),"-",$D$48/$D$45*D40)</f>
        <v>30430052.805059772</v>
      </c>
      <c r="F40" s="89">
        <v>36270242</v>
      </c>
      <c r="G40" s="91">
        <f>IF(ISBLANK(F40),"-",$D$48/$F$45*F40)</f>
        <v>30103783.074931111</v>
      </c>
      <c r="I40" s="72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32588260</v>
      </c>
      <c r="E42" s="100">
        <f>AVERAGE(E38:E41)</f>
        <v>30274894.742905129</v>
      </c>
      <c r="F42" s="99">
        <f>AVERAGE(F38:F41)</f>
        <v>36243646</v>
      </c>
      <c r="G42" s="101">
        <f>AVERAGE(G38:G41)</f>
        <v>30081708.774609078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16.260000000000002</v>
      </c>
      <c r="E43" s="92"/>
      <c r="F43" s="104">
        <v>18.2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16.260000000000002</v>
      </c>
      <c r="E44" s="107"/>
      <c r="F44" s="106">
        <f>F43*$B$34</f>
        <v>18.2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16.146180000000001</v>
      </c>
      <c r="E45" s="110"/>
      <c r="F45" s="109">
        <f>F44*$B$30/100</f>
        <v>18.072600000000001</v>
      </c>
      <c r="H45" s="102"/>
    </row>
    <row r="46" spans="1:14" ht="19.5" customHeight="1" x14ac:dyDescent="0.3">
      <c r="A46" s="714" t="s">
        <v>78</v>
      </c>
      <c r="B46" s="715"/>
      <c r="C46" s="105" t="s">
        <v>79</v>
      </c>
      <c r="D46" s="111">
        <f>D45/$B$45</f>
        <v>0.16146180000000002</v>
      </c>
      <c r="E46" s="112"/>
      <c r="F46" s="113">
        <f>F45/$B$45</f>
        <v>0.18072600000000003</v>
      </c>
      <c r="H46" s="102"/>
    </row>
    <row r="47" spans="1:14" ht="27" customHeight="1" x14ac:dyDescent="0.4">
      <c r="A47" s="716"/>
      <c r="B47" s="71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30178301.758757103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5.2143885254478783E-3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Lamivudine/Nevirapine/Zidovudine</v>
      </c>
      <c r="H56" s="131"/>
    </row>
    <row r="57" spans="1:12" ht="18.75" x14ac:dyDescent="0.3">
      <c r="A57" s="128" t="s">
        <v>88</v>
      </c>
      <c r="B57" s="199">
        <f>Uniformity!C46</f>
        <v>1231.1389999999999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731" t="s">
        <v>94</v>
      </c>
      <c r="D60" s="734">
        <v>1213.8499999999999</v>
      </c>
      <c r="E60" s="134">
        <v>1</v>
      </c>
      <c r="F60" s="135">
        <v>29496548</v>
      </c>
      <c r="G60" s="200">
        <f>IF(ISBLANK(F60),"-",(F60/$D$50*$D$47*$B$68)*($B$57/$D$60))</f>
        <v>148.69957315416386</v>
      </c>
      <c r="H60" s="218">
        <f t="shared" ref="H60:H71" si="0">IF(ISBLANK(F60),"-",(G60/$B$56)*100)</f>
        <v>99.133048769442567</v>
      </c>
      <c r="L60" s="64"/>
    </row>
    <row r="61" spans="1:12" s="3" customFormat="1" ht="26.25" customHeight="1" x14ac:dyDescent="0.4">
      <c r="A61" s="76" t="s">
        <v>95</v>
      </c>
      <c r="B61" s="77">
        <v>20</v>
      </c>
      <c r="C61" s="732"/>
      <c r="D61" s="735"/>
      <c r="E61" s="136">
        <v>2</v>
      </c>
      <c r="F61" s="89">
        <v>29620030</v>
      </c>
      <c r="G61" s="201">
        <f>IF(ISBLANK(F61),"-",(F61/$D$50*$D$47*$B$68)*($B$57/$D$60))</f>
        <v>149.32207720759487</v>
      </c>
      <c r="H61" s="219">
        <f t="shared" si="0"/>
        <v>99.54805147172992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32"/>
      <c r="D62" s="735"/>
      <c r="E62" s="136">
        <v>3</v>
      </c>
      <c r="F62" s="137">
        <v>29391584</v>
      </c>
      <c r="G62" s="201">
        <f>IF(ISBLANK(F62),"-",(F62/$D$50*$D$47*$B$68)*($B$57/$D$60))</f>
        <v>148.17042303135784</v>
      </c>
      <c r="H62" s="219">
        <f t="shared" si="0"/>
        <v>98.780282020905233</v>
      </c>
      <c r="L62" s="64"/>
    </row>
    <row r="63" spans="1:12" ht="27" customHeight="1" x14ac:dyDescent="0.4">
      <c r="A63" s="76" t="s">
        <v>97</v>
      </c>
      <c r="B63" s="77">
        <v>1</v>
      </c>
      <c r="C63" s="741"/>
      <c r="D63" s="73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31" t="s">
        <v>99</v>
      </c>
      <c r="D64" s="734">
        <v>1213.56</v>
      </c>
      <c r="E64" s="134">
        <v>1</v>
      </c>
      <c r="F64" s="135">
        <v>30098512</v>
      </c>
      <c r="G64" s="200">
        <f>IF(ISBLANK(F64),"-",(F64/$D$50*$D$47*$B$68)*($B$57/$D$64))</f>
        <v>151.77048559491263</v>
      </c>
      <c r="H64" s="218">
        <f t="shared" si="0"/>
        <v>101.18032372994175</v>
      </c>
    </row>
    <row r="65" spans="1:8" ht="26.25" customHeight="1" x14ac:dyDescent="0.4">
      <c r="A65" s="76" t="s">
        <v>100</v>
      </c>
      <c r="B65" s="77">
        <v>1</v>
      </c>
      <c r="C65" s="732"/>
      <c r="D65" s="735"/>
      <c r="E65" s="136">
        <v>2</v>
      </c>
      <c r="F65" s="89">
        <v>30264195</v>
      </c>
      <c r="G65" s="201">
        <f>IF(ISBLANK(F65),"-",(F65/$D$50*$D$47*$B$68)*($B$57/$D$64))</f>
        <v>152.60593518008889</v>
      </c>
      <c r="H65" s="219">
        <f t="shared" si="0"/>
        <v>101.73729012005926</v>
      </c>
    </row>
    <row r="66" spans="1:8" ht="26.25" customHeight="1" x14ac:dyDescent="0.4">
      <c r="A66" s="76" t="s">
        <v>101</v>
      </c>
      <c r="B66" s="77">
        <v>1</v>
      </c>
      <c r="C66" s="732"/>
      <c r="D66" s="735"/>
      <c r="E66" s="136">
        <v>3</v>
      </c>
      <c r="F66" s="89">
        <v>30278507</v>
      </c>
      <c r="G66" s="201">
        <f>IF(ISBLANK(F66),"-",(F66/$D$50*$D$47*$B$68)*($B$57/$D$64))</f>
        <v>152.67810284039828</v>
      </c>
      <c r="H66" s="219">
        <f t="shared" si="0"/>
        <v>101.78540189359886</v>
      </c>
    </row>
    <row r="67" spans="1:8" ht="27" customHeight="1" x14ac:dyDescent="0.4">
      <c r="A67" s="76" t="s">
        <v>102</v>
      </c>
      <c r="B67" s="77">
        <v>1</v>
      </c>
      <c r="C67" s="741"/>
      <c r="D67" s="73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731" t="s">
        <v>104</v>
      </c>
      <c r="D68" s="734">
        <v>1211.22</v>
      </c>
      <c r="E68" s="134">
        <v>1</v>
      </c>
      <c r="F68" s="135">
        <v>29603693</v>
      </c>
      <c r="G68" s="200">
        <f>IF(ISBLANK(F68),"-",(F68/$D$50*$D$47*$B$68)*($B$57/$D$68))</f>
        <v>149.56377206333866</v>
      </c>
      <c r="H68" s="219">
        <f t="shared" si="0"/>
        <v>99.709181375559112</v>
      </c>
    </row>
    <row r="69" spans="1:8" ht="27" customHeight="1" x14ac:dyDescent="0.4">
      <c r="A69" s="124" t="s">
        <v>105</v>
      </c>
      <c r="B69" s="141">
        <f>(D47*B68)/B56*B57</f>
        <v>1231.1389999999999</v>
      </c>
      <c r="C69" s="732"/>
      <c r="D69" s="735"/>
      <c r="E69" s="136">
        <v>2</v>
      </c>
      <c r="F69" s="89">
        <v>29585263</v>
      </c>
      <c r="G69" s="201">
        <f>IF(ISBLANK(F69),"-",(F69/$D$50*$D$47*$B$68)*($B$57/$D$68))</f>
        <v>149.47066002089423</v>
      </c>
      <c r="H69" s="219">
        <f t="shared" si="0"/>
        <v>99.647106680596153</v>
      </c>
    </row>
    <row r="70" spans="1:8" ht="26.25" customHeight="1" x14ac:dyDescent="0.4">
      <c r="A70" s="737" t="s">
        <v>78</v>
      </c>
      <c r="B70" s="738"/>
      <c r="C70" s="732"/>
      <c r="D70" s="735"/>
      <c r="E70" s="136">
        <v>3</v>
      </c>
      <c r="F70" s="89">
        <v>29521499</v>
      </c>
      <c r="G70" s="201">
        <f>IF(ISBLANK(F70),"-",(F70/$D$50*$D$47*$B$68)*($B$57/$D$68))</f>
        <v>149.1485115523958</v>
      </c>
      <c r="H70" s="219">
        <f t="shared" si="0"/>
        <v>99.432341034930545</v>
      </c>
    </row>
    <row r="71" spans="1:8" ht="27" customHeight="1" x14ac:dyDescent="0.4">
      <c r="A71" s="739"/>
      <c r="B71" s="740"/>
      <c r="C71" s="733"/>
      <c r="D71" s="73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150.15883784946055</v>
      </c>
      <c r="H72" s="221">
        <f>AVERAGE(H60:H71)</f>
        <v>100.10589189964037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1.142959859466384E-2</v>
      </c>
      <c r="H73" s="205">
        <f>STDEV(H60:H71)/H72</f>
        <v>1.1429598594663821E-2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18" t="str">
        <f>B26</f>
        <v>Lamivudine</v>
      </c>
      <c r="D76" s="718"/>
      <c r="E76" s="150" t="s">
        <v>108</v>
      </c>
      <c r="F76" s="150"/>
      <c r="G76" s="151">
        <f>H72</f>
        <v>100.10589189964037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52" t="str">
        <f>B26</f>
        <v>Lamivudine</v>
      </c>
      <c r="C79" s="752"/>
    </row>
    <row r="80" spans="1:8" ht="26.25" customHeight="1" x14ac:dyDescent="0.4">
      <c r="A80" s="61" t="s">
        <v>48</v>
      </c>
      <c r="B80" s="752" t="s">
        <v>141</v>
      </c>
      <c r="C80" s="752"/>
    </row>
    <row r="81" spans="1:12" ht="27" customHeight="1" x14ac:dyDescent="0.4">
      <c r="A81" s="61" t="s">
        <v>6</v>
      </c>
      <c r="B81" s="153">
        <v>99.39</v>
      </c>
    </row>
    <row r="82" spans="1:12" s="3" customFormat="1" ht="27" customHeight="1" x14ac:dyDescent="0.4">
      <c r="A82" s="61" t="s">
        <v>49</v>
      </c>
      <c r="B82" s="63">
        <v>0</v>
      </c>
      <c r="C82" s="720" t="s">
        <v>50</v>
      </c>
      <c r="D82" s="721"/>
      <c r="E82" s="721"/>
      <c r="F82" s="721"/>
      <c r="G82" s="72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23" t="s">
        <v>111</v>
      </c>
      <c r="D84" s="724"/>
      <c r="E84" s="724"/>
      <c r="F84" s="724"/>
      <c r="G84" s="724"/>
      <c r="H84" s="72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23" t="s">
        <v>112</v>
      </c>
      <c r="D85" s="724"/>
      <c r="E85" s="724"/>
      <c r="F85" s="724"/>
      <c r="G85" s="724"/>
      <c r="H85" s="72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726" t="s">
        <v>60</v>
      </c>
      <c r="G89" s="72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117459841</v>
      </c>
      <c r="E91" s="85">
        <f>IF(ISBLANK(D91),"-",$D$101/$D$98*D91)</f>
        <v>61842356.638182588</v>
      </c>
      <c r="F91" s="84">
        <v>111926925</v>
      </c>
      <c r="G91" s="86">
        <f>IF(ISBLANK(F91),"-",$D$101/$F$98*F91)</f>
        <v>61841773.533546396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117508526</v>
      </c>
      <c r="E92" s="90">
        <f>IF(ISBLANK(D92),"-",$D$101/$D$98*D92)</f>
        <v>61867989.187207833</v>
      </c>
      <c r="F92" s="89">
        <v>112050280</v>
      </c>
      <c r="G92" s="91">
        <f>IF(ISBLANK(F92),"-",$D$101/$F$98*F92)</f>
        <v>61909929.53778068</v>
      </c>
      <c r="I92" s="728">
        <f>ABS((F96/D96*D95)-F95)/D95</f>
        <v>9.5033263047531271E-4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118088512</v>
      </c>
      <c r="E93" s="90">
        <f>IF(ISBLANK(D93),"-",$D$101/$D$98*D93)</f>
        <v>62173350.583509684</v>
      </c>
      <c r="F93" s="89">
        <v>112116670</v>
      </c>
      <c r="G93" s="91">
        <f>IF(ISBLANK(F93),"-",$D$101/$F$98*F93)</f>
        <v>61946611.286563575</v>
      </c>
      <c r="I93" s="72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117685626.33333333</v>
      </c>
      <c r="E95" s="100">
        <f>AVERAGE(E91:E94)</f>
        <v>61961232.136300035</v>
      </c>
      <c r="F95" s="163">
        <f>AVERAGE(F91:F94)</f>
        <v>112031291.66666667</v>
      </c>
      <c r="G95" s="164">
        <f>AVERAGE(G91:G94)</f>
        <v>61899438.119296886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31.85</v>
      </c>
      <c r="E96" s="92"/>
      <c r="F96" s="104">
        <v>30.35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31.85</v>
      </c>
      <c r="E97" s="107"/>
      <c r="F97" s="106">
        <f>F96*$B$87</f>
        <v>30.35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31.655715000000001</v>
      </c>
      <c r="E98" s="110"/>
      <c r="F98" s="109">
        <f>F97*$B$83/100</f>
        <v>30.164864999999999</v>
      </c>
    </row>
    <row r="99" spans="1:10" ht="19.5" customHeight="1" x14ac:dyDescent="0.3">
      <c r="A99" s="714" t="s">
        <v>78</v>
      </c>
      <c r="B99" s="729"/>
      <c r="C99" s="167" t="s">
        <v>116</v>
      </c>
      <c r="D99" s="171">
        <f>D98/$B$98</f>
        <v>0.31655715000000001</v>
      </c>
      <c r="E99" s="110"/>
      <c r="F99" s="113">
        <f>F98/$B$98</f>
        <v>0.30164864999999996</v>
      </c>
      <c r="G99" s="172"/>
      <c r="H99" s="102"/>
    </row>
    <row r="100" spans="1:10" ht="19.5" customHeight="1" x14ac:dyDescent="0.3">
      <c r="A100" s="716"/>
      <c r="B100" s="73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61930335.12779846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2.0323412871118816E-3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59915784</v>
      </c>
      <c r="E108" s="202">
        <f t="shared" ref="E108:E113" si="1">IF(ISBLANK(D108),"-",D108/$D$103*$D$100*$B$116)</f>
        <v>145.12060335946526</v>
      </c>
      <c r="F108" s="229">
        <f t="shared" ref="F108:F113" si="2">IF(ISBLANK(D108), "-", (E108/$B$56)*100)</f>
        <v>96.747068906310176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59991968</v>
      </c>
      <c r="E109" s="203">
        <f t="shared" si="1"/>
        <v>145.30512682403909</v>
      </c>
      <c r="F109" s="230">
        <f t="shared" si="2"/>
        <v>96.87008454935939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59420916</v>
      </c>
      <c r="E110" s="203">
        <f t="shared" si="1"/>
        <v>143.92199528077782</v>
      </c>
      <c r="F110" s="230">
        <f t="shared" si="2"/>
        <v>95.947996853851876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62746620</v>
      </c>
      <c r="E111" s="203">
        <f t="shared" si="1"/>
        <v>151.97710428302318</v>
      </c>
      <c r="F111" s="230">
        <f t="shared" si="2"/>
        <v>101.31806952201545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63982007</v>
      </c>
      <c r="E112" s="203">
        <f t="shared" si="1"/>
        <v>154.96930591761148</v>
      </c>
      <c r="F112" s="230">
        <f t="shared" si="2"/>
        <v>103.31287061174099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63914322</v>
      </c>
      <c r="E113" s="204">
        <f t="shared" si="1"/>
        <v>154.80536767992797</v>
      </c>
      <c r="F113" s="231">
        <f t="shared" si="2"/>
        <v>103.20357845328532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149.3499172241408</v>
      </c>
      <c r="F115" s="233">
        <f>AVERAGE(F108:F113)</f>
        <v>99.566611482760536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3.4396711065084823E-2</v>
      </c>
      <c r="F116" s="187">
        <f>STDEV(F108:F113)/F115</f>
        <v>3.4396711065084851E-2</v>
      </c>
      <c r="I116" s="50"/>
    </row>
    <row r="117" spans="1:10" ht="27" customHeight="1" x14ac:dyDescent="0.4">
      <c r="A117" s="714" t="s">
        <v>78</v>
      </c>
      <c r="B117" s="71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716"/>
      <c r="B118" s="717"/>
      <c r="C118" s="50"/>
      <c r="D118" s="212"/>
      <c r="E118" s="742" t="s">
        <v>123</v>
      </c>
      <c r="F118" s="74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143.92199528077782</v>
      </c>
      <c r="F119" s="234">
        <f>MIN(F108:F113)</f>
        <v>95.947996853851876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154.96930591761148</v>
      </c>
      <c r="F120" s="235">
        <f>MAX(F108:F113)</f>
        <v>103.31287061174099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18" t="str">
        <f>B26</f>
        <v>Lamivudine</v>
      </c>
      <c r="D124" s="718"/>
      <c r="E124" s="150" t="s">
        <v>127</v>
      </c>
      <c r="F124" s="150"/>
      <c r="G124" s="236">
        <f>F115</f>
        <v>99.566611482760536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95.947996853851876</v>
      </c>
      <c r="E125" s="161" t="s">
        <v>130</v>
      </c>
      <c r="F125" s="236">
        <f>MAX(F108:F113)</f>
        <v>103.31287061174099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19" t="s">
        <v>26</v>
      </c>
      <c r="C127" s="719"/>
      <c r="E127" s="156" t="s">
        <v>27</v>
      </c>
      <c r="F127" s="191"/>
      <c r="G127" s="719" t="s">
        <v>28</v>
      </c>
      <c r="H127" s="71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8" zoomScale="60" zoomScaleNormal="40" zoomScalePageLayoutView="50" workbookViewId="0">
      <selection activeCell="C29" sqref="C29:G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237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239" t="s">
        <v>33</v>
      </c>
      <c r="B18" s="752" t="s">
        <v>5</v>
      </c>
      <c r="C18" s="752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749" t="s">
        <v>9</v>
      </c>
      <c r="C20" s="74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243"/>
    </row>
    <row r="22" spans="1:14" ht="26.25" customHeight="1" x14ac:dyDescent="0.4">
      <c r="A22" s="239" t="s">
        <v>37</v>
      </c>
      <c r="B22" s="244">
        <v>42676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42684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744" t="s">
        <v>132</v>
      </c>
      <c r="C26" s="744"/>
    </row>
    <row r="27" spans="1:14" ht="26.25" customHeight="1" x14ac:dyDescent="0.4">
      <c r="A27" s="248" t="s">
        <v>48</v>
      </c>
      <c r="B27" s="750" t="s">
        <v>133</v>
      </c>
      <c r="C27" s="750"/>
    </row>
    <row r="28" spans="1:14" ht="27" customHeight="1" x14ac:dyDescent="0.4">
      <c r="A28" s="248" t="s">
        <v>6</v>
      </c>
      <c r="B28" s="249">
        <v>99.8</v>
      </c>
    </row>
    <row r="29" spans="1:14" s="3" customFormat="1" ht="27" customHeight="1" x14ac:dyDescent="0.4">
      <c r="A29" s="248" t="s">
        <v>49</v>
      </c>
      <c r="B29" s="250">
        <v>0</v>
      </c>
      <c r="C29" s="720" t="s">
        <v>50</v>
      </c>
      <c r="D29" s="721"/>
      <c r="E29" s="721"/>
      <c r="F29" s="721"/>
      <c r="G29" s="722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99.8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723" t="s">
        <v>53</v>
      </c>
      <c r="D31" s="724"/>
      <c r="E31" s="724"/>
      <c r="F31" s="724"/>
      <c r="G31" s="724"/>
      <c r="H31" s="725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723" t="s">
        <v>55</v>
      </c>
      <c r="D32" s="724"/>
      <c r="E32" s="724"/>
      <c r="F32" s="724"/>
      <c r="G32" s="724"/>
      <c r="H32" s="725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100</v>
      </c>
      <c r="C36" s="238"/>
      <c r="D36" s="726" t="s">
        <v>59</v>
      </c>
      <c r="E36" s="751"/>
      <c r="F36" s="726" t="s">
        <v>60</v>
      </c>
      <c r="G36" s="72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1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</v>
      </c>
      <c r="C38" s="270">
        <v>1</v>
      </c>
      <c r="D38" s="271">
        <v>10880632</v>
      </c>
      <c r="E38" s="272">
        <f>IF(ISBLANK(D38),"-",$D$48/$D$45*D38)</f>
        <v>25091914.554079391</v>
      </c>
      <c r="F38" s="271">
        <v>15006821</v>
      </c>
      <c r="G38" s="273">
        <f>IF(ISBLANK(F38),"-",$D$48/$F$45*F38)</f>
        <v>25992903.698494658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10879383</v>
      </c>
      <c r="E39" s="277">
        <f>IF(ISBLANK(D39),"-",$D$48/$D$45*D39)</f>
        <v>25089034.224951632</v>
      </c>
      <c r="F39" s="276">
        <v>15062190</v>
      </c>
      <c r="G39" s="278">
        <f>IF(ISBLANK(F39),"-",$D$48/$F$45*F39)</f>
        <v>26088806.827137422</v>
      </c>
      <c r="I39" s="728">
        <f>ABS((F43/D43*D42)-F42)/D42</f>
        <v>4.7077653135088673E-2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10935693</v>
      </c>
      <c r="E40" s="277">
        <f>IF(ISBLANK(D40),"-",$D$48/$D$45*D40)</f>
        <v>25218891.177060682</v>
      </c>
      <c r="F40" s="276">
        <v>15001796</v>
      </c>
      <c r="G40" s="278">
        <f>IF(ISBLANK(F40),"-",$D$48/$F$45*F40)</f>
        <v>25984200.033602212</v>
      </c>
      <c r="I40" s="728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10898569.333333334</v>
      </c>
      <c r="E42" s="287">
        <f>AVERAGE(E38:E41)</f>
        <v>25133279.985363901</v>
      </c>
      <c r="F42" s="286">
        <f>AVERAGE(F38:F41)</f>
        <v>15023602.333333334</v>
      </c>
      <c r="G42" s="288">
        <f>AVERAGE(G38:G41)</f>
        <v>26021970.186411429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8.69</v>
      </c>
      <c r="E43" s="279"/>
      <c r="F43" s="291">
        <v>11.57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8.69</v>
      </c>
      <c r="E44" s="294"/>
      <c r="F44" s="293">
        <f>F43*$B$34</f>
        <v>11.57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100</v>
      </c>
      <c r="C45" s="292" t="s">
        <v>77</v>
      </c>
      <c r="D45" s="296">
        <f>D44*$B$30/100</f>
        <v>8.6726200000000002</v>
      </c>
      <c r="E45" s="297"/>
      <c r="F45" s="296">
        <f>F44*$B$30/100</f>
        <v>11.546859999999999</v>
      </c>
      <c r="H45" s="289"/>
    </row>
    <row r="46" spans="1:14" ht="19.5" customHeight="1" x14ac:dyDescent="0.3">
      <c r="A46" s="714" t="s">
        <v>78</v>
      </c>
      <c r="B46" s="715"/>
      <c r="C46" s="292" t="s">
        <v>79</v>
      </c>
      <c r="D46" s="298">
        <f>D45/$B$45</f>
        <v>8.6726200000000003E-2</v>
      </c>
      <c r="E46" s="299"/>
      <c r="F46" s="300">
        <f>F45/$B$45</f>
        <v>0.11546859999999999</v>
      </c>
      <c r="H46" s="289"/>
    </row>
    <row r="47" spans="1:14" ht="27" customHeight="1" x14ac:dyDescent="0.4">
      <c r="A47" s="716"/>
      <c r="B47" s="717"/>
      <c r="C47" s="301" t="s">
        <v>80</v>
      </c>
      <c r="D47" s="302">
        <v>0.2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25577625.085887667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1.9172459516740775E-2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Film Coated Tablet Contains Lamivudine USP 150MG, Nevirapine USP 200MG, Zidovudine USP 300MG</v>
      </c>
    </row>
    <row r="56" spans="1:12" ht="26.25" customHeight="1" x14ac:dyDescent="0.4">
      <c r="A56" s="316" t="s">
        <v>87</v>
      </c>
      <c r="B56" s="317">
        <v>200</v>
      </c>
      <c r="C56" s="238" t="str">
        <f>B20</f>
        <v>Lamivudine/Nevirapine/Zidovudine</v>
      </c>
      <c r="H56" s="318"/>
    </row>
    <row r="57" spans="1:12" ht="18.75" x14ac:dyDescent="0.3">
      <c r="A57" s="315" t="s">
        <v>88</v>
      </c>
      <c r="B57" s="386">
        <f>Uniformity!C46</f>
        <v>1231.1389999999999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200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4</v>
      </c>
      <c r="C60" s="731" t="s">
        <v>94</v>
      </c>
      <c r="D60" s="734">
        <v>1213.8499999999999</v>
      </c>
      <c r="E60" s="321">
        <v>1</v>
      </c>
      <c r="F60" s="322">
        <v>26384969</v>
      </c>
      <c r="G60" s="387">
        <f>IF(ISBLANK(F60),"-",(F60/$D$50*$D$47*$B$68)*($B$57/$D$60))</f>
        <v>209.25142929487757</v>
      </c>
      <c r="H60" s="405">
        <f t="shared" ref="H60:H71" si="0">IF(ISBLANK(F60),"-",(G60/$B$56)*100)</f>
        <v>104.6257146474388</v>
      </c>
      <c r="L60" s="251"/>
    </row>
    <row r="61" spans="1:12" s="3" customFormat="1" ht="26.25" customHeight="1" x14ac:dyDescent="0.4">
      <c r="A61" s="263" t="s">
        <v>95</v>
      </c>
      <c r="B61" s="264">
        <v>20</v>
      </c>
      <c r="C61" s="732"/>
      <c r="D61" s="735"/>
      <c r="E61" s="323">
        <v>2</v>
      </c>
      <c r="F61" s="276">
        <v>26489005</v>
      </c>
      <c r="G61" s="388">
        <f>IF(ISBLANK(F61),"-",(F61/$D$50*$D$47*$B$68)*($B$57/$D$60))</f>
        <v>210.07650821379244</v>
      </c>
      <c r="H61" s="406">
        <f t="shared" si="0"/>
        <v>105.03825410689622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732"/>
      <c r="D62" s="735"/>
      <c r="E62" s="323">
        <v>3</v>
      </c>
      <c r="F62" s="324">
        <v>26284515</v>
      </c>
      <c r="G62" s="388">
        <f>IF(ISBLANK(F62),"-",(F62/$D$50*$D$47*$B$68)*($B$57/$D$60))</f>
        <v>208.45475816449317</v>
      </c>
      <c r="H62" s="406">
        <f t="shared" si="0"/>
        <v>104.2273790822466</v>
      </c>
      <c r="L62" s="251"/>
    </row>
    <row r="63" spans="1:12" ht="27" customHeight="1" x14ac:dyDescent="0.4">
      <c r="A63" s="263" t="s">
        <v>97</v>
      </c>
      <c r="B63" s="264">
        <v>1</v>
      </c>
      <c r="C63" s="741"/>
      <c r="D63" s="73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731" t="s">
        <v>99</v>
      </c>
      <c r="D64" s="734">
        <v>1213.56</v>
      </c>
      <c r="E64" s="321">
        <v>1</v>
      </c>
      <c r="F64" s="322">
        <v>25564007</v>
      </c>
      <c r="G64" s="387">
        <f>IF(ISBLANK(F64),"-",(F64/$D$50*$D$47*$B$68)*($B$57/$D$64))</f>
        <v>202.78906930417781</v>
      </c>
      <c r="H64" s="405">
        <f t="shared" si="0"/>
        <v>101.39453465208889</v>
      </c>
    </row>
    <row r="65" spans="1:8" ht="26.25" customHeight="1" x14ac:dyDescent="0.4">
      <c r="A65" s="263" t="s">
        <v>100</v>
      </c>
      <c r="B65" s="264">
        <v>1</v>
      </c>
      <c r="C65" s="732"/>
      <c r="D65" s="735"/>
      <c r="E65" s="323">
        <v>2</v>
      </c>
      <c r="F65" s="276">
        <v>25708742</v>
      </c>
      <c r="G65" s="388">
        <f>IF(ISBLANK(F65),"-",(F65/$D$50*$D$47*$B$68)*($B$57/$D$64))</f>
        <v>203.93719432017159</v>
      </c>
      <c r="H65" s="406">
        <f t="shared" si="0"/>
        <v>101.96859716008579</v>
      </c>
    </row>
    <row r="66" spans="1:8" ht="26.25" customHeight="1" x14ac:dyDescent="0.4">
      <c r="A66" s="263" t="s">
        <v>101</v>
      </c>
      <c r="B66" s="264">
        <v>1</v>
      </c>
      <c r="C66" s="732"/>
      <c r="D66" s="735"/>
      <c r="E66" s="323">
        <v>3</v>
      </c>
      <c r="F66" s="276">
        <v>25721793</v>
      </c>
      <c r="G66" s="388">
        <f>IF(ISBLANK(F66),"-",(F66/$D$50*$D$47*$B$68)*($B$57/$D$64))</f>
        <v>204.04072269674765</v>
      </c>
      <c r="H66" s="406">
        <f t="shared" si="0"/>
        <v>102.02036134837383</v>
      </c>
    </row>
    <row r="67" spans="1:8" ht="27" customHeight="1" x14ac:dyDescent="0.4">
      <c r="A67" s="263" t="s">
        <v>102</v>
      </c>
      <c r="B67" s="264">
        <v>1</v>
      </c>
      <c r="C67" s="741"/>
      <c r="D67" s="73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731" t="s">
        <v>104</v>
      </c>
      <c r="D68" s="734">
        <v>1211.22</v>
      </c>
      <c r="E68" s="321">
        <v>1</v>
      </c>
      <c r="F68" s="322">
        <v>26462712</v>
      </c>
      <c r="G68" s="387">
        <f>IF(ISBLANK(F68),"-",(F68/$D$50*$D$47*$B$68)*($B$57/$D$68))</f>
        <v>210.32368603942447</v>
      </c>
      <c r="H68" s="406">
        <f t="shared" si="0"/>
        <v>105.16184301971224</v>
      </c>
    </row>
    <row r="69" spans="1:8" ht="27" customHeight="1" x14ac:dyDescent="0.4">
      <c r="A69" s="311" t="s">
        <v>105</v>
      </c>
      <c r="B69" s="328">
        <f>(D47*B68)/B56*B57</f>
        <v>1231.1389999999999</v>
      </c>
      <c r="C69" s="732"/>
      <c r="D69" s="735"/>
      <c r="E69" s="323">
        <v>2</v>
      </c>
      <c r="F69" s="276">
        <v>26448213</v>
      </c>
      <c r="G69" s="388">
        <f>IF(ISBLANK(F69),"-",(F69/$D$50*$D$47*$B$68)*($B$57/$D$68))</f>
        <v>210.20844905525271</v>
      </c>
      <c r="H69" s="406">
        <f t="shared" si="0"/>
        <v>105.10422452762636</v>
      </c>
    </row>
    <row r="70" spans="1:8" ht="26.25" customHeight="1" x14ac:dyDescent="0.4">
      <c r="A70" s="737" t="s">
        <v>78</v>
      </c>
      <c r="B70" s="738"/>
      <c r="C70" s="732"/>
      <c r="D70" s="735"/>
      <c r="E70" s="323">
        <v>3</v>
      </c>
      <c r="F70" s="276">
        <v>26394773</v>
      </c>
      <c r="G70" s="388">
        <f>IF(ISBLANK(F70),"-",(F70/$D$50*$D$47*$B$68)*($B$57/$D$68))</f>
        <v>209.78371187102363</v>
      </c>
      <c r="H70" s="406">
        <f t="shared" si="0"/>
        <v>104.89185593551183</v>
      </c>
    </row>
    <row r="71" spans="1:8" ht="27" customHeight="1" x14ac:dyDescent="0.4">
      <c r="A71" s="739"/>
      <c r="B71" s="740"/>
      <c r="C71" s="733"/>
      <c r="D71" s="73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207.65172543999566</v>
      </c>
      <c r="H72" s="408">
        <f>AVERAGE(H60:H71)</f>
        <v>103.82586271999784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1.501670185361768E-2</v>
      </c>
      <c r="H73" s="392">
        <f>STDEV(H60:H71)/H72</f>
        <v>1.5016701853617729E-2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718" t="str">
        <f>B26</f>
        <v>Nevirapine</v>
      </c>
      <c r="D76" s="718"/>
      <c r="E76" s="337" t="s">
        <v>108</v>
      </c>
      <c r="F76" s="337"/>
      <c r="G76" s="338">
        <f>H72</f>
        <v>103.82586271999784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752" t="str">
        <f>B26</f>
        <v>Nevirapine</v>
      </c>
      <c r="C79" s="752"/>
    </row>
    <row r="80" spans="1:8" ht="26.25" customHeight="1" x14ac:dyDescent="0.4">
      <c r="A80" s="248" t="s">
        <v>48</v>
      </c>
      <c r="B80" s="752" t="s">
        <v>140</v>
      </c>
      <c r="C80" s="752"/>
    </row>
    <row r="81" spans="1:12" ht="27" customHeight="1" x14ac:dyDescent="0.4">
      <c r="A81" s="248" t="s">
        <v>6</v>
      </c>
      <c r="B81" s="340">
        <v>101.38</v>
      </c>
    </row>
    <row r="82" spans="1:12" s="3" customFormat="1" ht="27" customHeight="1" x14ac:dyDescent="0.4">
      <c r="A82" s="248" t="s">
        <v>49</v>
      </c>
      <c r="B82" s="250">
        <v>0</v>
      </c>
      <c r="C82" s="720" t="s">
        <v>50</v>
      </c>
      <c r="D82" s="721"/>
      <c r="E82" s="721"/>
      <c r="F82" s="721"/>
      <c r="G82" s="722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101.38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723" t="s">
        <v>111</v>
      </c>
      <c r="D84" s="724"/>
      <c r="E84" s="724"/>
      <c r="F84" s="724"/>
      <c r="G84" s="724"/>
      <c r="H84" s="725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723" t="s">
        <v>112</v>
      </c>
      <c r="D85" s="724"/>
      <c r="E85" s="724"/>
      <c r="F85" s="724"/>
      <c r="G85" s="724"/>
      <c r="H85" s="725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100</v>
      </c>
      <c r="D89" s="341" t="s">
        <v>59</v>
      </c>
      <c r="E89" s="342"/>
      <c r="F89" s="726" t="s">
        <v>60</v>
      </c>
      <c r="G89" s="727"/>
    </row>
    <row r="90" spans="1:12" ht="27" customHeight="1" x14ac:dyDescent="0.4">
      <c r="A90" s="263" t="s">
        <v>61</v>
      </c>
      <c r="B90" s="264">
        <v>1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</v>
      </c>
      <c r="C91" s="345">
        <v>1</v>
      </c>
      <c r="D91" s="271">
        <v>47293559</v>
      </c>
      <c r="E91" s="272">
        <f>IF(ISBLANK(D91),"-",$D$101/$D$98*D91)</f>
        <v>51910968.532981843</v>
      </c>
      <c r="F91" s="271">
        <v>53073690</v>
      </c>
      <c r="G91" s="273">
        <f>IF(ISBLANK(F91),"-",$D$101/$F$98*F91)</f>
        <v>52380051.877220571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47331801</v>
      </c>
      <c r="E92" s="277">
        <f>IF(ISBLANK(D92),"-",$D$101/$D$98*D92)</f>
        <v>51952944.212135918</v>
      </c>
      <c r="F92" s="276">
        <v>53125453</v>
      </c>
      <c r="G92" s="278">
        <f>IF(ISBLANK(F92),"-",$D$101/$F$98*F92)</f>
        <v>52431138.368951604</v>
      </c>
      <c r="I92" s="728">
        <f>ABS((F96/D96*D95)-F95)/D95</f>
        <v>8.5897576389233656E-3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47582101</v>
      </c>
      <c r="E93" s="277">
        <f>IF(ISBLANK(D93),"-",$D$101/$D$98*D93)</f>
        <v>52227681.738736644</v>
      </c>
      <c r="F93" s="276">
        <v>53181008</v>
      </c>
      <c r="G93" s="278">
        <f>IF(ISBLANK(F93),"-",$D$101/$F$98*F93)</f>
        <v>52485967.301743709</v>
      </c>
      <c r="I93" s="728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47402487</v>
      </c>
      <c r="E95" s="287">
        <f>AVERAGE(E91:E94)</f>
        <v>52030531.49461814</v>
      </c>
      <c r="F95" s="350">
        <f>AVERAGE(F91:F94)</f>
        <v>53126717</v>
      </c>
      <c r="G95" s="351">
        <f>AVERAGE(G91:G94)</f>
        <v>52432385.849305294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19.97</v>
      </c>
      <c r="E96" s="279"/>
      <c r="F96" s="291">
        <v>22.21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19.97</v>
      </c>
      <c r="E97" s="294"/>
      <c r="F97" s="293">
        <f>F96*$B$87</f>
        <v>22.21</v>
      </c>
    </row>
    <row r="98" spans="1:10" ht="19.5" customHeight="1" x14ac:dyDescent="0.3">
      <c r="A98" s="263" t="s">
        <v>76</v>
      </c>
      <c r="B98" s="356">
        <f>(B97/B96)*(B95/B94)*(B93/B92)*(B91/B90)*B89</f>
        <v>100</v>
      </c>
      <c r="C98" s="354" t="s">
        <v>115</v>
      </c>
      <c r="D98" s="357">
        <f>D97*$B$83/100</f>
        <v>20.245585999999999</v>
      </c>
      <c r="E98" s="297"/>
      <c r="F98" s="296">
        <f>F97*$B$83/100</f>
        <v>22.516498000000002</v>
      </c>
    </row>
    <row r="99" spans="1:10" ht="19.5" customHeight="1" x14ac:dyDescent="0.3">
      <c r="A99" s="714" t="s">
        <v>78</v>
      </c>
      <c r="B99" s="729"/>
      <c r="C99" s="354" t="s">
        <v>116</v>
      </c>
      <c r="D99" s="358">
        <f>D98/$B$98</f>
        <v>0.20245585999999999</v>
      </c>
      <c r="E99" s="297"/>
      <c r="F99" s="300">
        <f>F98/$B$98</f>
        <v>0.22516498000000001</v>
      </c>
      <c r="G99" s="359"/>
      <c r="H99" s="289"/>
    </row>
    <row r="100" spans="1:10" ht="19.5" customHeight="1" x14ac:dyDescent="0.3">
      <c r="A100" s="716"/>
      <c r="B100" s="730"/>
      <c r="C100" s="354" t="s">
        <v>80</v>
      </c>
      <c r="D100" s="360">
        <f>$B$56/$B$116</f>
        <v>0.22222222222222221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52231458.671961717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4.7442739439324871E-3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</v>
      </c>
      <c r="C108" s="414">
        <v>1</v>
      </c>
      <c r="D108" s="415">
        <v>52086274</v>
      </c>
      <c r="E108" s="389">
        <f t="shared" ref="E108:E113" si="1">IF(ISBLANK(D108),"-",D108/$D$103*$D$100*$B$116)</f>
        <v>199.4440719227332</v>
      </c>
      <c r="F108" s="416">
        <f t="shared" ref="F108:F113" si="2">IF(ISBLANK(D108), "-", (E108/$B$56)*100)</f>
        <v>99.722035961366601</v>
      </c>
    </row>
    <row r="109" spans="1:10" ht="26.25" customHeight="1" x14ac:dyDescent="0.4">
      <c r="A109" s="263" t="s">
        <v>95</v>
      </c>
      <c r="B109" s="264">
        <v>1</v>
      </c>
      <c r="C109" s="410">
        <v>2</v>
      </c>
      <c r="D109" s="412">
        <v>52192472</v>
      </c>
      <c r="E109" s="390">
        <f t="shared" si="1"/>
        <v>199.85071574505866</v>
      </c>
      <c r="F109" s="417">
        <f t="shared" si="2"/>
        <v>99.925357872529332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51506913</v>
      </c>
      <c r="E110" s="390">
        <f t="shared" si="1"/>
        <v>197.2256349319585</v>
      </c>
      <c r="F110" s="417">
        <f t="shared" si="2"/>
        <v>98.612817465979248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51645530</v>
      </c>
      <c r="E111" s="390">
        <f t="shared" si="1"/>
        <v>197.75641467092993</v>
      </c>
      <c r="F111" s="417">
        <f t="shared" si="2"/>
        <v>98.878207335464964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51402366</v>
      </c>
      <c r="E112" s="390">
        <f t="shared" si="1"/>
        <v>196.82531297022044</v>
      </c>
      <c r="F112" s="417">
        <f t="shared" si="2"/>
        <v>98.412656485110219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51171261</v>
      </c>
      <c r="E113" s="391">
        <f t="shared" si="1"/>
        <v>195.94038650683581</v>
      </c>
      <c r="F113" s="418">
        <f t="shared" si="2"/>
        <v>97.970193253417904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197.8404227912894</v>
      </c>
      <c r="F115" s="420">
        <f>AVERAGE(F108:F113)</f>
        <v>98.920211395644699</v>
      </c>
    </row>
    <row r="116" spans="1:10" ht="27" customHeight="1" x14ac:dyDescent="0.4">
      <c r="A116" s="263" t="s">
        <v>103</v>
      </c>
      <c r="B116" s="295">
        <f>(B115/B114)*(B113/B112)*(B111/B110)*(B109/B108)*B107</f>
        <v>900</v>
      </c>
      <c r="C116" s="373"/>
      <c r="D116" s="397" t="s">
        <v>84</v>
      </c>
      <c r="E116" s="395">
        <f>STDEV(E108:E113)/E115</f>
        <v>7.7116956690918646E-3</v>
      </c>
      <c r="F116" s="374">
        <f>STDEV(F108:F113)/F115</f>
        <v>7.7116956690918646E-3</v>
      </c>
      <c r="I116" s="237"/>
    </row>
    <row r="117" spans="1:10" ht="27" customHeight="1" x14ac:dyDescent="0.4">
      <c r="A117" s="714" t="s">
        <v>78</v>
      </c>
      <c r="B117" s="71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716"/>
      <c r="B118" s="717"/>
      <c r="C118" s="237"/>
      <c r="D118" s="399"/>
      <c r="E118" s="742" t="s">
        <v>123</v>
      </c>
      <c r="F118" s="74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195.94038650683581</v>
      </c>
      <c r="F119" s="421">
        <f>MIN(F108:F113)</f>
        <v>97.970193253417904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199.85071574505866</v>
      </c>
      <c r="F120" s="422">
        <f>MAX(F108:F113)</f>
        <v>99.925357872529332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718" t="str">
        <f>B26</f>
        <v>Nevirapine</v>
      </c>
      <c r="D124" s="718"/>
      <c r="E124" s="337" t="s">
        <v>127</v>
      </c>
      <c r="F124" s="337"/>
      <c r="G124" s="423">
        <f>F115</f>
        <v>98.920211395644699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97.970193253417904</v>
      </c>
      <c r="E125" s="348" t="s">
        <v>130</v>
      </c>
      <c r="F125" s="423">
        <f>MAX(F108:F113)</f>
        <v>99.925357872529332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719" t="s">
        <v>26</v>
      </c>
      <c r="C127" s="719"/>
      <c r="E127" s="343" t="s">
        <v>27</v>
      </c>
      <c r="F127" s="378"/>
      <c r="G127" s="719" t="s">
        <v>28</v>
      </c>
      <c r="H127" s="719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2" zoomScale="60" zoomScaleNormal="40" zoomScalePageLayoutView="5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12" t="s">
        <v>45</v>
      </c>
      <c r="B1" s="712"/>
      <c r="C1" s="712"/>
      <c r="D1" s="712"/>
      <c r="E1" s="712"/>
      <c r="F1" s="712"/>
      <c r="G1" s="712"/>
      <c r="H1" s="712"/>
      <c r="I1" s="712"/>
    </row>
    <row r="2" spans="1:9" ht="18.7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</row>
    <row r="3" spans="1:9" ht="18.75" customHeight="1" x14ac:dyDescent="0.25">
      <c r="A3" s="712"/>
      <c r="B3" s="712"/>
      <c r="C3" s="712"/>
      <c r="D3" s="712"/>
      <c r="E3" s="712"/>
      <c r="F3" s="712"/>
      <c r="G3" s="712"/>
      <c r="H3" s="712"/>
      <c r="I3" s="712"/>
    </row>
    <row r="4" spans="1:9" ht="18.75" customHeight="1" x14ac:dyDescent="0.25">
      <c r="A4" s="712"/>
      <c r="B4" s="712"/>
      <c r="C4" s="712"/>
      <c r="D4" s="712"/>
      <c r="E4" s="712"/>
      <c r="F4" s="712"/>
      <c r="G4" s="712"/>
      <c r="H4" s="712"/>
      <c r="I4" s="712"/>
    </row>
    <row r="5" spans="1:9" ht="18.75" customHeight="1" x14ac:dyDescent="0.25">
      <c r="A5" s="712"/>
      <c r="B5" s="712"/>
      <c r="C5" s="712"/>
      <c r="D5" s="712"/>
      <c r="E5" s="712"/>
      <c r="F5" s="712"/>
      <c r="G5" s="712"/>
      <c r="H5" s="712"/>
      <c r="I5" s="712"/>
    </row>
    <row r="6" spans="1:9" ht="18.75" customHeight="1" x14ac:dyDescent="0.25">
      <c r="A6" s="712"/>
      <c r="B6" s="712"/>
      <c r="C6" s="712"/>
      <c r="D6" s="712"/>
      <c r="E6" s="712"/>
      <c r="F6" s="712"/>
      <c r="G6" s="712"/>
      <c r="H6" s="712"/>
      <c r="I6" s="712"/>
    </row>
    <row r="7" spans="1:9" ht="18.75" customHeight="1" x14ac:dyDescent="0.25">
      <c r="A7" s="712"/>
      <c r="B7" s="712"/>
      <c r="C7" s="712"/>
      <c r="D7" s="712"/>
      <c r="E7" s="712"/>
      <c r="F7" s="712"/>
      <c r="G7" s="712"/>
      <c r="H7" s="712"/>
      <c r="I7" s="712"/>
    </row>
    <row r="8" spans="1:9" x14ac:dyDescent="0.25">
      <c r="A8" s="713" t="s">
        <v>46</v>
      </c>
      <c r="B8" s="713"/>
      <c r="C8" s="713"/>
      <c r="D8" s="713"/>
      <c r="E8" s="713"/>
      <c r="F8" s="713"/>
      <c r="G8" s="713"/>
      <c r="H8" s="713"/>
      <c r="I8" s="713"/>
    </row>
    <row r="9" spans="1:9" x14ac:dyDescent="0.25">
      <c r="A9" s="713"/>
      <c r="B9" s="713"/>
      <c r="C9" s="713"/>
      <c r="D9" s="713"/>
      <c r="E9" s="713"/>
      <c r="F9" s="713"/>
      <c r="G9" s="713"/>
      <c r="H9" s="713"/>
      <c r="I9" s="713"/>
    </row>
    <row r="10" spans="1:9" x14ac:dyDescent="0.25">
      <c r="A10" s="713"/>
      <c r="B10" s="713"/>
      <c r="C10" s="713"/>
      <c r="D10" s="713"/>
      <c r="E10" s="713"/>
      <c r="F10" s="713"/>
      <c r="G10" s="713"/>
      <c r="H10" s="713"/>
      <c r="I10" s="713"/>
    </row>
    <row r="11" spans="1:9" x14ac:dyDescent="0.25">
      <c r="A11" s="713"/>
      <c r="B11" s="713"/>
      <c r="C11" s="713"/>
      <c r="D11" s="713"/>
      <c r="E11" s="713"/>
      <c r="F11" s="713"/>
      <c r="G11" s="713"/>
      <c r="H11" s="713"/>
      <c r="I11" s="713"/>
    </row>
    <row r="12" spans="1:9" x14ac:dyDescent="0.25">
      <c r="A12" s="713"/>
      <c r="B12" s="713"/>
      <c r="C12" s="713"/>
      <c r="D12" s="713"/>
      <c r="E12" s="713"/>
      <c r="F12" s="713"/>
      <c r="G12" s="713"/>
      <c r="H12" s="713"/>
      <c r="I12" s="713"/>
    </row>
    <row r="13" spans="1:9" x14ac:dyDescent="0.25">
      <c r="A13" s="713"/>
      <c r="B13" s="713"/>
      <c r="C13" s="713"/>
      <c r="D13" s="713"/>
      <c r="E13" s="713"/>
      <c r="F13" s="713"/>
      <c r="G13" s="713"/>
      <c r="H13" s="713"/>
      <c r="I13" s="713"/>
    </row>
    <row r="14" spans="1:9" x14ac:dyDescent="0.25">
      <c r="A14" s="713"/>
      <c r="B14" s="713"/>
      <c r="C14" s="713"/>
      <c r="D14" s="713"/>
      <c r="E14" s="713"/>
      <c r="F14" s="713"/>
      <c r="G14" s="713"/>
      <c r="H14" s="713"/>
      <c r="I14" s="713"/>
    </row>
    <row r="15" spans="1:9" ht="19.5" customHeight="1" x14ac:dyDescent="0.3">
      <c r="A15" s="424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426" t="s">
        <v>33</v>
      </c>
      <c r="B18" s="752" t="s">
        <v>5</v>
      </c>
      <c r="C18" s="752"/>
      <c r="D18" s="572"/>
      <c r="E18" s="427"/>
      <c r="F18" s="428"/>
      <c r="G18" s="428"/>
      <c r="H18" s="428"/>
    </row>
    <row r="19" spans="1:14" ht="26.25" customHeight="1" x14ac:dyDescent="0.4">
      <c r="A19" s="426" t="s">
        <v>34</v>
      </c>
      <c r="B19" s="429" t="s">
        <v>7</v>
      </c>
      <c r="C19" s="581">
        <v>1</v>
      </c>
      <c r="D19" s="428"/>
      <c r="E19" s="428"/>
      <c r="F19" s="428"/>
      <c r="G19" s="428"/>
      <c r="H19" s="428"/>
    </row>
    <row r="20" spans="1:14" ht="26.25" customHeight="1" x14ac:dyDescent="0.4">
      <c r="A20" s="426" t="s">
        <v>35</v>
      </c>
      <c r="B20" s="749" t="s">
        <v>9</v>
      </c>
      <c r="C20" s="749"/>
      <c r="D20" s="428"/>
      <c r="E20" s="428"/>
      <c r="F20" s="428"/>
      <c r="G20" s="428"/>
      <c r="H20" s="428"/>
    </row>
    <row r="21" spans="1:14" ht="26.25" customHeight="1" x14ac:dyDescent="0.4">
      <c r="A21" s="426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430"/>
    </row>
    <row r="22" spans="1:14" ht="26.25" customHeight="1" x14ac:dyDescent="0.4">
      <c r="A22" s="426" t="s">
        <v>37</v>
      </c>
      <c r="B22" s="431">
        <v>42676</v>
      </c>
      <c r="C22" s="428"/>
      <c r="D22" s="428"/>
      <c r="E22" s="428"/>
      <c r="F22" s="428"/>
      <c r="G22" s="428"/>
      <c r="H22" s="428"/>
    </row>
    <row r="23" spans="1:14" ht="26.25" customHeight="1" x14ac:dyDescent="0.4">
      <c r="A23" s="426" t="s">
        <v>38</v>
      </c>
      <c r="B23" s="431">
        <v>42684</v>
      </c>
      <c r="C23" s="428"/>
      <c r="D23" s="428"/>
      <c r="E23" s="428"/>
      <c r="F23" s="428"/>
      <c r="G23" s="428"/>
      <c r="H23" s="428"/>
    </row>
    <row r="24" spans="1:14" ht="18.75" x14ac:dyDescent="0.3">
      <c r="A24" s="426"/>
      <c r="B24" s="432"/>
    </row>
    <row r="25" spans="1:14" ht="18.75" x14ac:dyDescent="0.3">
      <c r="A25" s="433" t="s">
        <v>1</v>
      </c>
      <c r="B25" s="432"/>
    </row>
    <row r="26" spans="1:14" ht="26.25" customHeight="1" x14ac:dyDescent="0.4">
      <c r="A26" s="434" t="s">
        <v>4</v>
      </c>
      <c r="B26" s="744" t="s">
        <v>134</v>
      </c>
      <c r="C26" s="744"/>
    </row>
    <row r="27" spans="1:14" ht="26.25" customHeight="1" x14ac:dyDescent="0.4">
      <c r="A27" s="435" t="s">
        <v>48</v>
      </c>
      <c r="B27" s="750" t="s">
        <v>135</v>
      </c>
      <c r="C27" s="750"/>
    </row>
    <row r="28" spans="1:14" ht="27" customHeight="1" x14ac:dyDescent="0.4">
      <c r="A28" s="435" t="s">
        <v>6</v>
      </c>
      <c r="B28" s="436">
        <v>99</v>
      </c>
    </row>
    <row r="29" spans="1:14" s="3" customFormat="1" ht="27" customHeight="1" x14ac:dyDescent="0.4">
      <c r="A29" s="435" t="s">
        <v>49</v>
      </c>
      <c r="B29" s="437">
        <v>0</v>
      </c>
      <c r="C29" s="720" t="s">
        <v>50</v>
      </c>
      <c r="D29" s="721"/>
      <c r="E29" s="721"/>
      <c r="F29" s="721"/>
      <c r="G29" s="722"/>
      <c r="I29" s="438"/>
      <c r="J29" s="438"/>
      <c r="K29" s="438"/>
      <c r="L29" s="438"/>
    </row>
    <row r="30" spans="1:14" s="3" customFormat="1" ht="19.5" customHeight="1" x14ac:dyDescent="0.3">
      <c r="A30" s="435" t="s">
        <v>51</v>
      </c>
      <c r="B30" s="439">
        <f>B28-B29</f>
        <v>99</v>
      </c>
      <c r="C30" s="440"/>
      <c r="D30" s="440"/>
      <c r="E30" s="440"/>
      <c r="F30" s="440"/>
      <c r="G30" s="441"/>
      <c r="I30" s="438"/>
      <c r="J30" s="438"/>
      <c r="K30" s="438"/>
      <c r="L30" s="438"/>
    </row>
    <row r="31" spans="1:14" s="3" customFormat="1" ht="27" customHeight="1" x14ac:dyDescent="0.4">
      <c r="A31" s="435" t="s">
        <v>52</v>
      </c>
      <c r="B31" s="442">
        <v>1</v>
      </c>
      <c r="C31" s="723" t="s">
        <v>53</v>
      </c>
      <c r="D31" s="724"/>
      <c r="E31" s="724"/>
      <c r="F31" s="724"/>
      <c r="G31" s="724"/>
      <c r="H31" s="725"/>
      <c r="I31" s="438"/>
      <c r="J31" s="438"/>
      <c r="K31" s="438"/>
      <c r="L31" s="438"/>
    </row>
    <row r="32" spans="1:14" s="3" customFormat="1" ht="27" customHeight="1" x14ac:dyDescent="0.4">
      <c r="A32" s="435" t="s">
        <v>54</v>
      </c>
      <c r="B32" s="442">
        <v>1</v>
      </c>
      <c r="C32" s="723" t="s">
        <v>55</v>
      </c>
      <c r="D32" s="724"/>
      <c r="E32" s="724"/>
      <c r="F32" s="724"/>
      <c r="G32" s="724"/>
      <c r="H32" s="725"/>
      <c r="I32" s="438"/>
      <c r="J32" s="438"/>
      <c r="K32" s="438"/>
      <c r="L32" s="443"/>
      <c r="M32" s="443"/>
      <c r="N32" s="444"/>
    </row>
    <row r="33" spans="1:14" s="3" customFormat="1" ht="17.25" customHeight="1" x14ac:dyDescent="0.3">
      <c r="A33" s="435"/>
      <c r="B33" s="445"/>
      <c r="C33" s="446"/>
      <c r="D33" s="446"/>
      <c r="E33" s="446"/>
      <c r="F33" s="446"/>
      <c r="G33" s="446"/>
      <c r="H33" s="446"/>
      <c r="I33" s="438"/>
      <c r="J33" s="438"/>
      <c r="K33" s="438"/>
      <c r="L33" s="443"/>
      <c r="M33" s="443"/>
      <c r="N33" s="444"/>
    </row>
    <row r="34" spans="1:14" s="3" customFormat="1" ht="18.75" x14ac:dyDescent="0.3">
      <c r="A34" s="435" t="s">
        <v>56</v>
      </c>
      <c r="B34" s="447">
        <f>B31/B32</f>
        <v>1</v>
      </c>
      <c r="C34" s="425" t="s">
        <v>57</v>
      </c>
      <c r="D34" s="425"/>
      <c r="E34" s="425"/>
      <c r="F34" s="425"/>
      <c r="G34" s="425"/>
      <c r="I34" s="438"/>
      <c r="J34" s="438"/>
      <c r="K34" s="438"/>
      <c r="L34" s="443"/>
      <c r="M34" s="443"/>
      <c r="N34" s="444"/>
    </row>
    <row r="35" spans="1:14" s="3" customFormat="1" ht="19.5" customHeight="1" x14ac:dyDescent="0.3">
      <c r="A35" s="435"/>
      <c r="B35" s="439"/>
      <c r="G35" s="425"/>
      <c r="I35" s="438"/>
      <c r="J35" s="438"/>
      <c r="K35" s="438"/>
      <c r="L35" s="443"/>
      <c r="M35" s="443"/>
      <c r="N35" s="444"/>
    </row>
    <row r="36" spans="1:14" s="3" customFormat="1" ht="27" customHeight="1" x14ac:dyDescent="0.4">
      <c r="A36" s="448" t="s">
        <v>58</v>
      </c>
      <c r="B36" s="449">
        <v>100</v>
      </c>
      <c r="C36" s="425"/>
      <c r="D36" s="726" t="s">
        <v>59</v>
      </c>
      <c r="E36" s="751"/>
      <c r="F36" s="726" t="s">
        <v>60</v>
      </c>
      <c r="G36" s="727"/>
      <c r="J36" s="438"/>
      <c r="K36" s="438"/>
      <c r="L36" s="443"/>
      <c r="M36" s="443"/>
      <c r="N36" s="444"/>
    </row>
    <row r="37" spans="1:14" s="3" customFormat="1" ht="27" customHeight="1" x14ac:dyDescent="0.4">
      <c r="A37" s="450" t="s">
        <v>61</v>
      </c>
      <c r="B37" s="451">
        <v>1</v>
      </c>
      <c r="C37" s="452" t="s">
        <v>62</v>
      </c>
      <c r="D37" s="453" t="s">
        <v>63</v>
      </c>
      <c r="E37" s="454" t="s">
        <v>64</v>
      </c>
      <c r="F37" s="453" t="s">
        <v>63</v>
      </c>
      <c r="G37" s="455" t="s">
        <v>64</v>
      </c>
      <c r="I37" s="456" t="s">
        <v>65</v>
      </c>
      <c r="J37" s="438"/>
      <c r="K37" s="438"/>
      <c r="L37" s="443"/>
      <c r="M37" s="443"/>
      <c r="N37" s="444"/>
    </row>
    <row r="38" spans="1:14" s="3" customFormat="1" ht="26.25" customHeight="1" x14ac:dyDescent="0.4">
      <c r="A38" s="450" t="s">
        <v>66</v>
      </c>
      <c r="B38" s="451">
        <v>1</v>
      </c>
      <c r="C38" s="457">
        <v>1</v>
      </c>
      <c r="D38" s="458">
        <v>49295769</v>
      </c>
      <c r="E38" s="459">
        <f>IF(ISBLANK(D38),"-",$D$48/$D$45*D38)</f>
        <v>53160540.278227113</v>
      </c>
      <c r="F38" s="458">
        <v>46732666</v>
      </c>
      <c r="G38" s="460">
        <f>IF(ISBLANK(F38),"-",$D$48/$F$45*F38)</f>
        <v>52999303.665396482</v>
      </c>
      <c r="I38" s="461"/>
      <c r="J38" s="438"/>
      <c r="K38" s="438"/>
      <c r="L38" s="443"/>
      <c r="M38" s="443"/>
      <c r="N38" s="444"/>
    </row>
    <row r="39" spans="1:14" s="3" customFormat="1" ht="26.25" customHeight="1" x14ac:dyDescent="0.4">
      <c r="A39" s="450" t="s">
        <v>67</v>
      </c>
      <c r="B39" s="451">
        <v>1</v>
      </c>
      <c r="C39" s="462">
        <v>2</v>
      </c>
      <c r="D39" s="463">
        <v>49283380</v>
      </c>
      <c r="E39" s="464">
        <f>IF(ISBLANK(D39),"-",$D$48/$D$45*D39)</f>
        <v>53147179.984902404</v>
      </c>
      <c r="F39" s="463">
        <v>47115358</v>
      </c>
      <c r="G39" s="465">
        <f>IF(ISBLANK(F39),"-",$D$48/$F$45*F39)</f>
        <v>53433312.919615321</v>
      </c>
      <c r="I39" s="728">
        <f>ABS((F43/D43*D42)-F42)/D42</f>
        <v>1.0391800548410974E-3</v>
      </c>
      <c r="J39" s="438"/>
      <c r="K39" s="438"/>
      <c r="L39" s="443"/>
      <c r="M39" s="443"/>
      <c r="N39" s="444"/>
    </row>
    <row r="40" spans="1:14" ht="26.25" customHeight="1" x14ac:dyDescent="0.4">
      <c r="A40" s="450" t="s">
        <v>68</v>
      </c>
      <c r="B40" s="451">
        <v>1</v>
      </c>
      <c r="C40" s="462">
        <v>3</v>
      </c>
      <c r="D40" s="463">
        <v>49686735</v>
      </c>
      <c r="E40" s="464">
        <f>IF(ISBLANK(D40),"-",$D$48/$D$45*D40)</f>
        <v>53582157.877709478</v>
      </c>
      <c r="F40" s="463">
        <v>46982400</v>
      </c>
      <c r="G40" s="465">
        <f>IF(ISBLANK(F40),"-",$D$48/$F$45*F40)</f>
        <v>53282525.857376158</v>
      </c>
      <c r="I40" s="728"/>
      <c r="L40" s="443"/>
      <c r="M40" s="443"/>
      <c r="N40" s="466"/>
    </row>
    <row r="41" spans="1:14" ht="27" customHeight="1" x14ac:dyDescent="0.4">
      <c r="A41" s="450" t="s">
        <v>69</v>
      </c>
      <c r="B41" s="451">
        <v>1</v>
      </c>
      <c r="C41" s="467">
        <v>4</v>
      </c>
      <c r="D41" s="468"/>
      <c r="E41" s="469" t="str">
        <f>IF(ISBLANK(D41),"-",$D$48/$D$45*D41)</f>
        <v>-</v>
      </c>
      <c r="F41" s="468"/>
      <c r="G41" s="470" t="str">
        <f>IF(ISBLANK(F41),"-",$D$48/$F$45*F41)</f>
        <v>-</v>
      </c>
      <c r="I41" s="471"/>
      <c r="L41" s="443"/>
      <c r="M41" s="443"/>
      <c r="N41" s="466"/>
    </row>
    <row r="42" spans="1:14" ht="27" customHeight="1" x14ac:dyDescent="0.4">
      <c r="A42" s="450" t="s">
        <v>70</v>
      </c>
      <c r="B42" s="451">
        <v>1</v>
      </c>
      <c r="C42" s="472" t="s">
        <v>71</v>
      </c>
      <c r="D42" s="473">
        <f>AVERAGE(D38:D41)</f>
        <v>49421961.333333336</v>
      </c>
      <c r="E42" s="474">
        <f>AVERAGE(E38:E41)</f>
        <v>53296626.046946324</v>
      </c>
      <c r="F42" s="473">
        <f>AVERAGE(F38:F41)</f>
        <v>46943474.666666664</v>
      </c>
      <c r="G42" s="475">
        <f>AVERAGE(G38:G41)</f>
        <v>53238380.814129323</v>
      </c>
      <c r="H42" s="476"/>
    </row>
    <row r="43" spans="1:14" ht="26.25" customHeight="1" x14ac:dyDescent="0.4">
      <c r="A43" s="450" t="s">
        <v>72</v>
      </c>
      <c r="B43" s="451">
        <v>1</v>
      </c>
      <c r="C43" s="477" t="s">
        <v>73</v>
      </c>
      <c r="D43" s="478">
        <v>28.1</v>
      </c>
      <c r="E43" s="466"/>
      <c r="F43" s="478">
        <v>26.72</v>
      </c>
      <c r="H43" s="476"/>
    </row>
    <row r="44" spans="1:14" ht="26.25" customHeight="1" x14ac:dyDescent="0.4">
      <c r="A44" s="450" t="s">
        <v>74</v>
      </c>
      <c r="B44" s="451">
        <v>1</v>
      </c>
      <c r="C44" s="479" t="s">
        <v>75</v>
      </c>
      <c r="D44" s="480">
        <f>D43*$B$34</f>
        <v>28.1</v>
      </c>
      <c r="E44" s="481"/>
      <c r="F44" s="480">
        <f>F43*$B$34</f>
        <v>26.72</v>
      </c>
      <c r="H44" s="476"/>
    </row>
    <row r="45" spans="1:14" ht="19.5" customHeight="1" x14ac:dyDescent="0.3">
      <c r="A45" s="450" t="s">
        <v>76</v>
      </c>
      <c r="B45" s="482">
        <f>(B44/B43)*(B42/B41)*(B40/B39)*(B38/B37)*B36</f>
        <v>100</v>
      </c>
      <c r="C45" s="479" t="s">
        <v>77</v>
      </c>
      <c r="D45" s="483">
        <f>D44*$B$30/100</f>
        <v>27.819000000000003</v>
      </c>
      <c r="E45" s="484"/>
      <c r="F45" s="483">
        <f>F44*$B$30/100</f>
        <v>26.452799999999996</v>
      </c>
      <c r="H45" s="476"/>
    </row>
    <row r="46" spans="1:14" ht="19.5" customHeight="1" x14ac:dyDescent="0.3">
      <c r="A46" s="714" t="s">
        <v>78</v>
      </c>
      <c r="B46" s="715"/>
      <c r="C46" s="479" t="s">
        <v>79</v>
      </c>
      <c r="D46" s="485">
        <f>D45/$B$45</f>
        <v>0.27819000000000005</v>
      </c>
      <c r="E46" s="486"/>
      <c r="F46" s="487">
        <f>F45/$B$45</f>
        <v>0.26452799999999999</v>
      </c>
      <c r="H46" s="476"/>
    </row>
    <row r="47" spans="1:14" ht="27" customHeight="1" x14ac:dyDescent="0.4">
      <c r="A47" s="716"/>
      <c r="B47" s="717"/>
      <c r="C47" s="488" t="s">
        <v>80</v>
      </c>
      <c r="D47" s="489">
        <v>0.3</v>
      </c>
      <c r="E47" s="490"/>
      <c r="F47" s="486"/>
      <c r="H47" s="476"/>
    </row>
    <row r="48" spans="1:14" ht="18.75" x14ac:dyDescent="0.3">
      <c r="C48" s="491" t="s">
        <v>81</v>
      </c>
      <c r="D48" s="483">
        <f>D47*$B$45</f>
        <v>30</v>
      </c>
      <c r="F48" s="492"/>
      <c r="H48" s="476"/>
    </row>
    <row r="49" spans="1:12" ht="19.5" customHeight="1" x14ac:dyDescent="0.3">
      <c r="C49" s="493" t="s">
        <v>82</v>
      </c>
      <c r="D49" s="494">
        <f>D48/B34</f>
        <v>30</v>
      </c>
      <c r="F49" s="492"/>
      <c r="H49" s="476"/>
    </row>
    <row r="50" spans="1:12" ht="18.75" x14ac:dyDescent="0.3">
      <c r="C50" s="448" t="s">
        <v>83</v>
      </c>
      <c r="D50" s="495">
        <f>AVERAGE(E38:E41,G38:G41)</f>
        <v>53267503.43053782</v>
      </c>
      <c r="F50" s="496"/>
      <c r="H50" s="476"/>
    </row>
    <row r="51" spans="1:12" ht="18.75" x14ac:dyDescent="0.3">
      <c r="C51" s="450" t="s">
        <v>84</v>
      </c>
      <c r="D51" s="497">
        <f>STDEV(E38:E41,G38:G41)/D50</f>
        <v>3.9786356913680994E-3</v>
      </c>
      <c r="F51" s="496"/>
      <c r="H51" s="476"/>
    </row>
    <row r="52" spans="1:12" ht="19.5" customHeight="1" x14ac:dyDescent="0.3">
      <c r="C52" s="498" t="s">
        <v>20</v>
      </c>
      <c r="D52" s="499">
        <f>COUNT(E38:E41,G38:G41)</f>
        <v>6</v>
      </c>
      <c r="F52" s="496"/>
    </row>
    <row r="54" spans="1:12" ht="18.75" x14ac:dyDescent="0.3">
      <c r="A54" s="500" t="s">
        <v>1</v>
      </c>
      <c r="B54" s="501" t="s">
        <v>85</v>
      </c>
    </row>
    <row r="55" spans="1:12" ht="18.75" x14ac:dyDescent="0.3">
      <c r="A55" s="425" t="s">
        <v>86</v>
      </c>
      <c r="B55" s="502" t="str">
        <f>B21</f>
        <v>Each Film Coated Tablet Contains Lamivudine USP 150MG, Nevirapine USP 200MG, Zidovudine USP 300MG</v>
      </c>
    </row>
    <row r="56" spans="1:12" ht="26.25" customHeight="1" x14ac:dyDescent="0.4">
      <c r="A56" s="503" t="s">
        <v>87</v>
      </c>
      <c r="B56" s="504">
        <v>300</v>
      </c>
      <c r="C56" s="425" t="str">
        <f>B20</f>
        <v>Lamivudine/Nevirapine/Zidovudine</v>
      </c>
      <c r="H56" s="505"/>
    </row>
    <row r="57" spans="1:12" ht="18.75" x14ac:dyDescent="0.3">
      <c r="A57" s="502" t="s">
        <v>88</v>
      </c>
      <c r="B57" s="573">
        <f>Uniformity!C46</f>
        <v>1231.1389999999999</v>
      </c>
      <c r="H57" s="505"/>
    </row>
    <row r="58" spans="1:12" ht="19.5" customHeight="1" x14ac:dyDescent="0.3">
      <c r="H58" s="505"/>
    </row>
    <row r="59" spans="1:12" s="3" customFormat="1" ht="27" customHeight="1" x14ac:dyDescent="0.4">
      <c r="A59" s="448" t="s">
        <v>89</v>
      </c>
      <c r="B59" s="449">
        <v>200</v>
      </c>
      <c r="C59" s="425"/>
      <c r="D59" s="506" t="s">
        <v>90</v>
      </c>
      <c r="E59" s="507" t="s">
        <v>62</v>
      </c>
      <c r="F59" s="507" t="s">
        <v>63</v>
      </c>
      <c r="G59" s="507" t="s">
        <v>91</v>
      </c>
      <c r="H59" s="452" t="s">
        <v>92</v>
      </c>
      <c r="L59" s="438"/>
    </row>
    <row r="60" spans="1:12" s="3" customFormat="1" ht="26.25" customHeight="1" x14ac:dyDescent="0.4">
      <c r="A60" s="450" t="s">
        <v>93</v>
      </c>
      <c r="B60" s="451">
        <v>4</v>
      </c>
      <c r="C60" s="731" t="s">
        <v>94</v>
      </c>
      <c r="D60" s="734">
        <v>1213.8499999999999</v>
      </c>
      <c r="E60" s="508">
        <v>1</v>
      </c>
      <c r="F60" s="509"/>
      <c r="G60" s="574" t="str">
        <f>IF(ISBLANK(F60),"-",(F60/$D$50*$D$47*$B$68)*($B$57/$D$60))</f>
        <v>-</v>
      </c>
      <c r="H60" s="592" t="str">
        <f t="shared" ref="H60:H71" si="0">IF(ISBLANK(F60),"-",(G60/$B$56)*100)</f>
        <v>-</v>
      </c>
      <c r="L60" s="438"/>
    </row>
    <row r="61" spans="1:12" s="3" customFormat="1" ht="26.25" customHeight="1" x14ac:dyDescent="0.4">
      <c r="A61" s="450" t="s">
        <v>95</v>
      </c>
      <c r="B61" s="451">
        <v>20</v>
      </c>
      <c r="C61" s="732"/>
      <c r="D61" s="735"/>
      <c r="E61" s="510">
        <v>2</v>
      </c>
      <c r="F61" s="463">
        <v>54569095</v>
      </c>
      <c r="G61" s="575">
        <f>IF(ISBLANK(F61),"-",(F61/$D$50*$D$47*$B$68)*($B$57/$D$60))</f>
        <v>311.70784305581157</v>
      </c>
      <c r="H61" s="593">
        <f t="shared" si="0"/>
        <v>103.90261435193719</v>
      </c>
      <c r="L61" s="438"/>
    </row>
    <row r="62" spans="1:12" s="3" customFormat="1" ht="26.25" customHeight="1" x14ac:dyDescent="0.4">
      <c r="A62" s="450" t="s">
        <v>96</v>
      </c>
      <c r="B62" s="451">
        <v>1</v>
      </c>
      <c r="C62" s="732"/>
      <c r="D62" s="735"/>
      <c r="E62" s="510">
        <v>3</v>
      </c>
      <c r="F62" s="511"/>
      <c r="G62" s="575" t="str">
        <f>IF(ISBLANK(F62),"-",(F62/$D$50*$D$47*$B$68)*($B$57/$D$60))</f>
        <v>-</v>
      </c>
      <c r="H62" s="593" t="str">
        <f t="shared" si="0"/>
        <v>-</v>
      </c>
      <c r="L62" s="438"/>
    </row>
    <row r="63" spans="1:12" ht="27" customHeight="1" x14ac:dyDescent="0.4">
      <c r="A63" s="450" t="s">
        <v>97</v>
      </c>
      <c r="B63" s="451">
        <v>1</v>
      </c>
      <c r="C63" s="741"/>
      <c r="D63" s="736"/>
      <c r="E63" s="512">
        <v>4</v>
      </c>
      <c r="F63" s="513"/>
      <c r="G63" s="575" t="str">
        <f>IF(ISBLANK(F63),"-",(F63/$D$50*$D$47*$B$68)*($B$57/$D$60))</f>
        <v>-</v>
      </c>
      <c r="H63" s="593" t="str">
        <f t="shared" si="0"/>
        <v>-</v>
      </c>
    </row>
    <row r="64" spans="1:12" ht="26.25" customHeight="1" x14ac:dyDescent="0.4">
      <c r="A64" s="450" t="s">
        <v>98</v>
      </c>
      <c r="B64" s="451">
        <v>1</v>
      </c>
      <c r="C64" s="731" t="s">
        <v>99</v>
      </c>
      <c r="D64" s="734">
        <v>1213.56</v>
      </c>
      <c r="E64" s="508">
        <v>1</v>
      </c>
      <c r="F64" s="509">
        <v>51861696</v>
      </c>
      <c r="G64" s="574">
        <f>IF(ISBLANK(F64),"-",(F64/$D$50*$D$47*$B$68)*($B$57/$D$64))</f>
        <v>296.31351692801746</v>
      </c>
      <c r="H64" s="592">
        <f t="shared" si="0"/>
        <v>98.77117230933915</v>
      </c>
    </row>
    <row r="65" spans="1:8" ht="26.25" customHeight="1" x14ac:dyDescent="0.4">
      <c r="A65" s="450" t="s">
        <v>100</v>
      </c>
      <c r="B65" s="451">
        <v>1</v>
      </c>
      <c r="C65" s="732"/>
      <c r="D65" s="735"/>
      <c r="E65" s="510">
        <v>2</v>
      </c>
      <c r="F65" s="463">
        <v>52153212</v>
      </c>
      <c r="G65" s="575">
        <f>IF(ISBLANK(F65),"-",(F65/$D$50*$D$47*$B$68)*($B$57/$D$64))</f>
        <v>297.9791032443768</v>
      </c>
      <c r="H65" s="593">
        <f t="shared" si="0"/>
        <v>99.326367748125605</v>
      </c>
    </row>
    <row r="66" spans="1:8" ht="26.25" customHeight="1" x14ac:dyDescent="0.4">
      <c r="A66" s="450" t="s">
        <v>101</v>
      </c>
      <c r="B66" s="451">
        <v>1</v>
      </c>
      <c r="C66" s="732"/>
      <c r="D66" s="735"/>
      <c r="E66" s="510">
        <v>3</v>
      </c>
      <c r="F66" s="463">
        <v>52179993</v>
      </c>
      <c r="G66" s="575">
        <f>IF(ISBLANK(F66),"-",(F66/$D$50*$D$47*$B$68)*($B$57/$D$64))</f>
        <v>298.13211737443629</v>
      </c>
      <c r="H66" s="593">
        <f t="shared" si="0"/>
        <v>99.37737245814543</v>
      </c>
    </row>
    <row r="67" spans="1:8" ht="27" customHeight="1" x14ac:dyDescent="0.4">
      <c r="A67" s="450" t="s">
        <v>102</v>
      </c>
      <c r="B67" s="451">
        <v>1</v>
      </c>
      <c r="C67" s="741"/>
      <c r="D67" s="736"/>
      <c r="E67" s="512">
        <v>4</v>
      </c>
      <c r="F67" s="513"/>
      <c r="G67" s="591" t="str">
        <f>IF(ISBLANK(F67),"-",(F67/$D$50*$D$47*$B$68)*($B$57/$D$64))</f>
        <v>-</v>
      </c>
      <c r="H67" s="594" t="str">
        <f t="shared" si="0"/>
        <v>-</v>
      </c>
    </row>
    <row r="68" spans="1:8" ht="26.25" customHeight="1" x14ac:dyDescent="0.4">
      <c r="A68" s="450" t="s">
        <v>103</v>
      </c>
      <c r="B68" s="514">
        <f>(B67/B66)*(B65/B64)*(B63/B62)*(B61/B60)*B59</f>
        <v>1000</v>
      </c>
      <c r="C68" s="731" t="s">
        <v>104</v>
      </c>
      <c r="D68" s="734">
        <v>1211.22</v>
      </c>
      <c r="E68" s="508">
        <v>1</v>
      </c>
      <c r="F68" s="509">
        <v>52817375</v>
      </c>
      <c r="G68" s="574">
        <f>IF(ISBLANK(F68),"-",(F68/$D$50*$D$47*$B$68)*($B$57/$D$68))</f>
        <v>302.35682835821501</v>
      </c>
      <c r="H68" s="593">
        <f t="shared" si="0"/>
        <v>100.78560945273833</v>
      </c>
    </row>
    <row r="69" spans="1:8" ht="27" customHeight="1" x14ac:dyDescent="0.4">
      <c r="A69" s="498" t="s">
        <v>105</v>
      </c>
      <c r="B69" s="515">
        <f>(D47*B68)/B56*B57</f>
        <v>1231.1389999999999</v>
      </c>
      <c r="C69" s="732"/>
      <c r="D69" s="735"/>
      <c r="E69" s="510">
        <v>2</v>
      </c>
      <c r="F69" s="463">
        <v>52787249</v>
      </c>
      <c r="G69" s="575">
        <f>IF(ISBLANK(F69),"-",(F69/$D$50*$D$47*$B$68)*($B$57/$D$68))</f>
        <v>302.18436992363507</v>
      </c>
      <c r="H69" s="593">
        <f t="shared" si="0"/>
        <v>100.72812330787835</v>
      </c>
    </row>
    <row r="70" spans="1:8" ht="26.25" customHeight="1" x14ac:dyDescent="0.4">
      <c r="A70" s="737" t="s">
        <v>78</v>
      </c>
      <c r="B70" s="738"/>
      <c r="C70" s="732"/>
      <c r="D70" s="735"/>
      <c r="E70" s="510">
        <v>3</v>
      </c>
      <c r="F70" s="463">
        <v>52682019</v>
      </c>
      <c r="G70" s="575">
        <f>IF(ISBLANK(F70),"-",(F70/$D$50*$D$47*$B$68)*($B$57/$D$68))</f>
        <v>301.58197328714692</v>
      </c>
      <c r="H70" s="593">
        <f t="shared" si="0"/>
        <v>100.52732442904897</v>
      </c>
    </row>
    <row r="71" spans="1:8" ht="27" customHeight="1" x14ac:dyDescent="0.4">
      <c r="A71" s="739"/>
      <c r="B71" s="740"/>
      <c r="C71" s="733"/>
      <c r="D71" s="736"/>
      <c r="E71" s="512">
        <v>4</v>
      </c>
      <c r="F71" s="513"/>
      <c r="G71" s="591" t="str">
        <f>IF(ISBLANK(F71),"-",(F71/$D$50*$D$47*$B$68)*($B$57/$D$68))</f>
        <v>-</v>
      </c>
      <c r="H71" s="594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8" t="s">
        <v>71</v>
      </c>
      <c r="G72" s="580">
        <f>AVERAGE(G60:G71)</f>
        <v>301.46510745309126</v>
      </c>
      <c r="H72" s="595">
        <f>AVERAGE(H60:H71)</f>
        <v>100.48836915103045</v>
      </c>
    </row>
    <row r="73" spans="1:8" ht="26.25" customHeight="1" x14ac:dyDescent="0.4">
      <c r="C73" s="516"/>
      <c r="D73" s="516"/>
      <c r="E73" s="516"/>
      <c r="F73" s="519" t="s">
        <v>84</v>
      </c>
      <c r="G73" s="579">
        <f>STDEV(G60:G71)/G72</f>
        <v>1.6916281926102273E-2</v>
      </c>
      <c r="H73" s="579">
        <f>STDEV(H60:H71)/H72</f>
        <v>1.6916281926102266E-2</v>
      </c>
    </row>
    <row r="74" spans="1:8" ht="27" customHeight="1" x14ac:dyDescent="0.4">
      <c r="A74" s="516"/>
      <c r="B74" s="516"/>
      <c r="C74" s="517"/>
      <c r="D74" s="517"/>
      <c r="E74" s="520"/>
      <c r="F74" s="521" t="s">
        <v>20</v>
      </c>
      <c r="G74" s="522">
        <f>COUNT(G60:G71)</f>
        <v>7</v>
      </c>
      <c r="H74" s="522">
        <f>COUNT(H60:H71)</f>
        <v>7</v>
      </c>
    </row>
    <row r="76" spans="1:8" ht="26.25" customHeight="1" x14ac:dyDescent="0.4">
      <c r="A76" s="434" t="s">
        <v>106</v>
      </c>
      <c r="B76" s="523" t="s">
        <v>107</v>
      </c>
      <c r="C76" s="718" t="str">
        <f>B26</f>
        <v>Zidovudine</v>
      </c>
      <c r="D76" s="718"/>
      <c r="E76" s="524" t="s">
        <v>108</v>
      </c>
      <c r="F76" s="524"/>
      <c r="G76" s="525">
        <f>H72</f>
        <v>100.48836915103045</v>
      </c>
      <c r="H76" s="526"/>
    </row>
    <row r="77" spans="1:8" ht="18.75" x14ac:dyDescent="0.3">
      <c r="A77" s="433" t="s">
        <v>109</v>
      </c>
      <c r="B77" s="433" t="s">
        <v>110</v>
      </c>
    </row>
    <row r="78" spans="1:8" ht="18.75" x14ac:dyDescent="0.3">
      <c r="A78" s="433"/>
      <c r="B78" s="433"/>
    </row>
    <row r="79" spans="1:8" ht="26.25" customHeight="1" x14ac:dyDescent="0.4">
      <c r="A79" s="434" t="s">
        <v>4</v>
      </c>
      <c r="B79" s="752" t="str">
        <f>B26</f>
        <v>Zidovudine</v>
      </c>
      <c r="C79" s="752"/>
    </row>
    <row r="80" spans="1:8" ht="26.25" customHeight="1" x14ac:dyDescent="0.4">
      <c r="A80" s="435" t="s">
        <v>48</v>
      </c>
      <c r="B80" s="752" t="str">
        <f>B27</f>
        <v>Z1-1</v>
      </c>
      <c r="C80" s="752"/>
    </row>
    <row r="81" spans="1:12" ht="27" customHeight="1" x14ac:dyDescent="0.4">
      <c r="A81" s="435" t="s">
        <v>6</v>
      </c>
      <c r="B81" s="527">
        <f>B28</f>
        <v>99</v>
      </c>
    </row>
    <row r="82" spans="1:12" s="3" customFormat="1" ht="27" customHeight="1" x14ac:dyDescent="0.4">
      <c r="A82" s="435" t="s">
        <v>49</v>
      </c>
      <c r="B82" s="437">
        <v>0</v>
      </c>
      <c r="C82" s="720" t="s">
        <v>50</v>
      </c>
      <c r="D82" s="721"/>
      <c r="E82" s="721"/>
      <c r="F82" s="721"/>
      <c r="G82" s="722"/>
      <c r="I82" s="438"/>
      <c r="J82" s="438"/>
      <c r="K82" s="438"/>
      <c r="L82" s="438"/>
    </row>
    <row r="83" spans="1:12" s="3" customFormat="1" ht="19.5" customHeight="1" x14ac:dyDescent="0.3">
      <c r="A83" s="435" t="s">
        <v>51</v>
      </c>
      <c r="B83" s="439">
        <f>B81-B82</f>
        <v>99</v>
      </c>
      <c r="C83" s="440"/>
      <c r="D83" s="440"/>
      <c r="E83" s="440"/>
      <c r="F83" s="440"/>
      <c r="G83" s="441"/>
      <c r="I83" s="438"/>
      <c r="J83" s="438"/>
      <c r="K83" s="438"/>
      <c r="L83" s="438"/>
    </row>
    <row r="84" spans="1:12" s="3" customFormat="1" ht="27" customHeight="1" x14ac:dyDescent="0.4">
      <c r="A84" s="435" t="s">
        <v>52</v>
      </c>
      <c r="B84" s="442">
        <v>1</v>
      </c>
      <c r="C84" s="723" t="s">
        <v>111</v>
      </c>
      <c r="D84" s="724"/>
      <c r="E84" s="724"/>
      <c r="F84" s="724"/>
      <c r="G84" s="724"/>
      <c r="H84" s="725"/>
      <c r="I84" s="438"/>
      <c r="J84" s="438"/>
      <c r="K84" s="438"/>
      <c r="L84" s="438"/>
    </row>
    <row r="85" spans="1:12" s="3" customFormat="1" ht="27" customHeight="1" x14ac:dyDescent="0.4">
      <c r="A85" s="435" t="s">
        <v>54</v>
      </c>
      <c r="B85" s="442">
        <v>1</v>
      </c>
      <c r="C85" s="723" t="s">
        <v>112</v>
      </c>
      <c r="D85" s="724"/>
      <c r="E85" s="724"/>
      <c r="F85" s="724"/>
      <c r="G85" s="724"/>
      <c r="H85" s="725"/>
      <c r="I85" s="438"/>
      <c r="J85" s="438"/>
      <c r="K85" s="438"/>
      <c r="L85" s="438"/>
    </row>
    <row r="86" spans="1:12" s="3" customFormat="1" ht="18.75" x14ac:dyDescent="0.3">
      <c r="A86" s="435"/>
      <c r="B86" s="445"/>
      <c r="C86" s="446"/>
      <c r="D86" s="446"/>
      <c r="E86" s="446"/>
      <c r="F86" s="446"/>
      <c r="G86" s="446"/>
      <c r="H86" s="446"/>
      <c r="I86" s="438"/>
      <c r="J86" s="438"/>
      <c r="K86" s="438"/>
      <c r="L86" s="438"/>
    </row>
    <row r="87" spans="1:12" s="3" customFormat="1" ht="18.75" x14ac:dyDescent="0.3">
      <c r="A87" s="435" t="s">
        <v>56</v>
      </c>
      <c r="B87" s="447">
        <f>B84/B85</f>
        <v>1</v>
      </c>
      <c r="C87" s="425" t="s">
        <v>57</v>
      </c>
      <c r="D87" s="425"/>
      <c r="E87" s="425"/>
      <c r="F87" s="425"/>
      <c r="G87" s="425"/>
      <c r="I87" s="438"/>
      <c r="J87" s="438"/>
      <c r="K87" s="438"/>
      <c r="L87" s="438"/>
    </row>
    <row r="88" spans="1:12" ht="19.5" customHeight="1" x14ac:dyDescent="0.3">
      <c r="A88" s="433"/>
      <c r="B88" s="433"/>
    </row>
    <row r="89" spans="1:12" ht="27" customHeight="1" x14ac:dyDescent="0.4">
      <c r="A89" s="448" t="s">
        <v>58</v>
      </c>
      <c r="B89" s="449">
        <v>100</v>
      </c>
      <c r="D89" s="528" t="s">
        <v>59</v>
      </c>
      <c r="E89" s="529"/>
      <c r="F89" s="726" t="s">
        <v>60</v>
      </c>
      <c r="G89" s="727"/>
    </row>
    <row r="90" spans="1:12" ht="27" customHeight="1" x14ac:dyDescent="0.4">
      <c r="A90" s="450" t="s">
        <v>61</v>
      </c>
      <c r="B90" s="451">
        <v>1</v>
      </c>
      <c r="C90" s="530" t="s">
        <v>62</v>
      </c>
      <c r="D90" s="453" t="s">
        <v>63</v>
      </c>
      <c r="E90" s="454" t="s">
        <v>64</v>
      </c>
      <c r="F90" s="453" t="s">
        <v>63</v>
      </c>
      <c r="G90" s="531" t="s">
        <v>64</v>
      </c>
      <c r="I90" s="456" t="s">
        <v>65</v>
      </c>
    </row>
    <row r="91" spans="1:12" ht="26.25" customHeight="1" x14ac:dyDescent="0.4">
      <c r="A91" s="450" t="s">
        <v>66</v>
      </c>
      <c r="B91" s="451">
        <v>1</v>
      </c>
      <c r="C91" s="532">
        <v>1</v>
      </c>
      <c r="D91" s="458">
        <v>93430894</v>
      </c>
      <c r="E91" s="459">
        <f>IF(ISBLANK(D91),"-",$D$101/$D$98*D91)</f>
        <v>105706362.45972264</v>
      </c>
      <c r="F91" s="458">
        <v>92087794</v>
      </c>
      <c r="G91" s="460">
        <f>IF(ISBLANK(F91),"-",$D$101/$F$98*F91)</f>
        <v>106003388.87449996</v>
      </c>
      <c r="I91" s="461"/>
    </row>
    <row r="92" spans="1:12" ht="26.25" customHeight="1" x14ac:dyDescent="0.4">
      <c r="A92" s="450" t="s">
        <v>67</v>
      </c>
      <c r="B92" s="451">
        <v>1</v>
      </c>
      <c r="C92" s="517">
        <v>2</v>
      </c>
      <c r="D92" s="463">
        <v>93437543</v>
      </c>
      <c r="E92" s="464">
        <f>IF(ISBLANK(D92),"-",$D$101/$D$98*D92)</f>
        <v>105713885.04217802</v>
      </c>
      <c r="F92" s="463">
        <v>92166388</v>
      </c>
      <c r="G92" s="465">
        <f>IF(ISBLANK(F92),"-",$D$101/$F$98*F92)</f>
        <v>106093859.39163715</v>
      </c>
      <c r="I92" s="728">
        <f>ABS((F96/D96*D95)-F95)/D95</f>
        <v>1.6559882727218078E-3</v>
      </c>
    </row>
    <row r="93" spans="1:12" ht="26.25" customHeight="1" x14ac:dyDescent="0.4">
      <c r="A93" s="450" t="s">
        <v>68</v>
      </c>
      <c r="B93" s="451">
        <v>1</v>
      </c>
      <c r="C93" s="517">
        <v>3</v>
      </c>
      <c r="D93" s="463">
        <v>93935809</v>
      </c>
      <c r="E93" s="464">
        <f>IF(ISBLANK(D93),"-",$D$101/$D$98*D93)</f>
        <v>106277615.98964553</v>
      </c>
      <c r="F93" s="463">
        <v>92202903</v>
      </c>
      <c r="G93" s="465">
        <f>IF(ISBLANK(F93),"-",$D$101/$F$98*F93)</f>
        <v>106135892.25589223</v>
      </c>
      <c r="I93" s="728"/>
    </row>
    <row r="94" spans="1:12" ht="27" customHeight="1" x14ac:dyDescent="0.4">
      <c r="A94" s="450" t="s">
        <v>69</v>
      </c>
      <c r="B94" s="451">
        <v>1</v>
      </c>
      <c r="C94" s="533">
        <v>4</v>
      </c>
      <c r="D94" s="468"/>
      <c r="E94" s="469" t="str">
        <f>IF(ISBLANK(D94),"-",$D$101/$D$98*D94)</f>
        <v>-</v>
      </c>
      <c r="F94" s="534"/>
      <c r="G94" s="470" t="str">
        <f>IF(ISBLANK(F94),"-",$D$101/$F$98*F94)</f>
        <v>-</v>
      </c>
      <c r="I94" s="471"/>
    </row>
    <row r="95" spans="1:12" ht="27" customHeight="1" x14ac:dyDescent="0.4">
      <c r="A95" s="450" t="s">
        <v>70</v>
      </c>
      <c r="B95" s="451">
        <v>1</v>
      </c>
      <c r="C95" s="535" t="s">
        <v>71</v>
      </c>
      <c r="D95" s="536">
        <f>AVERAGE(D91:D94)</f>
        <v>93601415.333333328</v>
      </c>
      <c r="E95" s="474">
        <f>AVERAGE(E91:E94)</f>
        <v>105899287.8305154</v>
      </c>
      <c r="F95" s="537">
        <f>AVERAGE(F91:F94)</f>
        <v>92152361.666666672</v>
      </c>
      <c r="G95" s="538">
        <f>AVERAGE(G91:G94)</f>
        <v>106077713.50734311</v>
      </c>
    </row>
    <row r="96" spans="1:12" ht="26.25" customHeight="1" x14ac:dyDescent="0.4">
      <c r="A96" s="450" t="s">
        <v>72</v>
      </c>
      <c r="B96" s="436">
        <v>1</v>
      </c>
      <c r="C96" s="539" t="s">
        <v>113</v>
      </c>
      <c r="D96" s="540">
        <v>29.76</v>
      </c>
      <c r="E96" s="466"/>
      <c r="F96" s="478">
        <v>29.25</v>
      </c>
    </row>
    <row r="97" spans="1:10" ht="26.25" customHeight="1" x14ac:dyDescent="0.4">
      <c r="A97" s="450" t="s">
        <v>74</v>
      </c>
      <c r="B97" s="436">
        <v>1</v>
      </c>
      <c r="C97" s="541" t="s">
        <v>114</v>
      </c>
      <c r="D97" s="542">
        <f>D96*$B$87</f>
        <v>29.76</v>
      </c>
      <c r="E97" s="481"/>
      <c r="F97" s="480">
        <f>F96*$B$87</f>
        <v>29.25</v>
      </c>
    </row>
    <row r="98" spans="1:10" ht="19.5" customHeight="1" x14ac:dyDescent="0.3">
      <c r="A98" s="450" t="s">
        <v>76</v>
      </c>
      <c r="B98" s="543">
        <f>(B97/B96)*(B95/B94)*(B93/B92)*(B91/B90)*B89</f>
        <v>100</v>
      </c>
      <c r="C98" s="541" t="s">
        <v>115</v>
      </c>
      <c r="D98" s="544">
        <f>D97*$B$83/100</f>
        <v>29.462400000000002</v>
      </c>
      <c r="E98" s="484"/>
      <c r="F98" s="483">
        <f>F97*$B$83/100</f>
        <v>28.9575</v>
      </c>
    </row>
    <row r="99" spans="1:10" ht="19.5" customHeight="1" x14ac:dyDescent="0.3">
      <c r="A99" s="714" t="s">
        <v>78</v>
      </c>
      <c r="B99" s="729"/>
      <c r="C99" s="541" t="s">
        <v>116</v>
      </c>
      <c r="D99" s="545">
        <f>D98/$B$98</f>
        <v>0.294624</v>
      </c>
      <c r="E99" s="484"/>
      <c r="F99" s="487">
        <f>F98/$B$98</f>
        <v>0.28957499999999997</v>
      </c>
      <c r="G99" s="546"/>
      <c r="H99" s="476"/>
    </row>
    <row r="100" spans="1:10" ht="19.5" customHeight="1" x14ac:dyDescent="0.3">
      <c r="A100" s="716"/>
      <c r="B100" s="730"/>
      <c r="C100" s="541" t="s">
        <v>80</v>
      </c>
      <c r="D100" s="547">
        <f>$B$56/$B$116</f>
        <v>0.33333333333333331</v>
      </c>
      <c r="F100" s="492"/>
      <c r="G100" s="548"/>
      <c r="H100" s="476"/>
    </row>
    <row r="101" spans="1:10" ht="18.75" x14ac:dyDescent="0.3">
      <c r="C101" s="541" t="s">
        <v>81</v>
      </c>
      <c r="D101" s="542">
        <f>D100*$B$98</f>
        <v>33.333333333333329</v>
      </c>
      <c r="F101" s="492"/>
      <c r="G101" s="546"/>
      <c r="H101" s="476"/>
    </row>
    <row r="102" spans="1:10" ht="19.5" customHeight="1" x14ac:dyDescent="0.3">
      <c r="C102" s="549" t="s">
        <v>82</v>
      </c>
      <c r="D102" s="550">
        <f>D101/B34</f>
        <v>33.333333333333329</v>
      </c>
      <c r="F102" s="496"/>
      <c r="G102" s="546"/>
      <c r="H102" s="476"/>
      <c r="J102" s="551"/>
    </row>
    <row r="103" spans="1:10" ht="18.75" x14ac:dyDescent="0.3">
      <c r="C103" s="552" t="s">
        <v>117</v>
      </c>
      <c r="D103" s="553">
        <f>AVERAGE(E91:E94,G91:G94)</f>
        <v>105988500.66892926</v>
      </c>
      <c r="F103" s="496"/>
      <c r="G103" s="554"/>
      <c r="H103" s="476"/>
      <c r="J103" s="555"/>
    </row>
    <row r="104" spans="1:10" ht="18.75" x14ac:dyDescent="0.3">
      <c r="C104" s="519" t="s">
        <v>84</v>
      </c>
      <c r="D104" s="556">
        <f>STDEV(E91:E94,G91:G94)/D103</f>
        <v>2.1991807606291545E-3</v>
      </c>
      <c r="F104" s="496"/>
      <c r="G104" s="546"/>
      <c r="H104" s="476"/>
      <c r="J104" s="555"/>
    </row>
    <row r="105" spans="1:10" ht="19.5" customHeight="1" x14ac:dyDescent="0.3">
      <c r="C105" s="521" t="s">
        <v>20</v>
      </c>
      <c r="D105" s="557">
        <f>COUNT(E91:E94,G91:G94)</f>
        <v>6</v>
      </c>
      <c r="F105" s="496"/>
      <c r="G105" s="546"/>
      <c r="H105" s="476"/>
      <c r="J105" s="555"/>
    </row>
    <row r="106" spans="1:10" ht="19.5" customHeight="1" x14ac:dyDescent="0.3">
      <c r="A106" s="500"/>
      <c r="B106" s="500"/>
      <c r="C106" s="500"/>
      <c r="D106" s="500"/>
      <c r="E106" s="500"/>
    </row>
    <row r="107" spans="1:10" ht="27" customHeight="1" x14ac:dyDescent="0.4">
      <c r="A107" s="448" t="s">
        <v>118</v>
      </c>
      <c r="B107" s="449">
        <v>900</v>
      </c>
      <c r="C107" s="596" t="s">
        <v>119</v>
      </c>
      <c r="D107" s="596" t="s">
        <v>63</v>
      </c>
      <c r="E107" s="596" t="s">
        <v>120</v>
      </c>
      <c r="F107" s="558" t="s">
        <v>121</v>
      </c>
    </row>
    <row r="108" spans="1:10" ht="26.25" customHeight="1" x14ac:dyDescent="0.4">
      <c r="A108" s="450" t="s">
        <v>122</v>
      </c>
      <c r="B108" s="451">
        <v>1</v>
      </c>
      <c r="C108" s="601">
        <v>1</v>
      </c>
      <c r="D108" s="602">
        <v>106561763</v>
      </c>
      <c r="E108" s="576">
        <f t="shared" ref="E108:E113" si="1">IF(ISBLANK(D108),"-",D108/$D$103*$D$100*$B$116)</f>
        <v>301.6226165879865</v>
      </c>
      <c r="F108" s="603">
        <f t="shared" ref="F108:F113" si="2">IF(ISBLANK(D108), "-", (E108/$B$56)*100)</f>
        <v>100.5408721959955</v>
      </c>
    </row>
    <row r="109" spans="1:10" ht="26.25" customHeight="1" x14ac:dyDescent="0.4">
      <c r="A109" s="450" t="s">
        <v>95</v>
      </c>
      <c r="B109" s="451">
        <v>1</v>
      </c>
      <c r="C109" s="597">
        <v>2</v>
      </c>
      <c r="D109" s="599">
        <v>106770243</v>
      </c>
      <c r="E109" s="577">
        <f t="shared" si="1"/>
        <v>302.21271834058473</v>
      </c>
      <c r="F109" s="604">
        <f t="shared" si="2"/>
        <v>100.73757278019491</v>
      </c>
    </row>
    <row r="110" spans="1:10" ht="26.25" customHeight="1" x14ac:dyDescent="0.4">
      <c r="A110" s="450" t="s">
        <v>96</v>
      </c>
      <c r="B110" s="451">
        <v>1</v>
      </c>
      <c r="C110" s="597">
        <v>3</v>
      </c>
      <c r="D110" s="599">
        <v>106273526</v>
      </c>
      <c r="E110" s="577">
        <f t="shared" si="1"/>
        <v>300.80676298637633</v>
      </c>
      <c r="F110" s="604">
        <f t="shared" si="2"/>
        <v>100.26892099545877</v>
      </c>
    </row>
    <row r="111" spans="1:10" ht="26.25" customHeight="1" x14ac:dyDescent="0.4">
      <c r="A111" s="450" t="s">
        <v>97</v>
      </c>
      <c r="B111" s="451">
        <v>1</v>
      </c>
      <c r="C111" s="597">
        <v>4</v>
      </c>
      <c r="D111" s="599">
        <v>108750603</v>
      </c>
      <c r="E111" s="577">
        <f t="shared" si="1"/>
        <v>307.81811889111981</v>
      </c>
      <c r="F111" s="604">
        <f t="shared" si="2"/>
        <v>102.60603963037327</v>
      </c>
    </row>
    <row r="112" spans="1:10" ht="26.25" customHeight="1" x14ac:dyDescent="0.4">
      <c r="A112" s="450" t="s">
        <v>98</v>
      </c>
      <c r="B112" s="451">
        <v>1</v>
      </c>
      <c r="C112" s="597">
        <v>5</v>
      </c>
      <c r="D112" s="599">
        <v>108604423</v>
      </c>
      <c r="E112" s="577">
        <f t="shared" si="1"/>
        <v>307.40435702333963</v>
      </c>
      <c r="F112" s="604">
        <f t="shared" si="2"/>
        <v>102.46811900777988</v>
      </c>
    </row>
    <row r="113" spans="1:10" ht="27" customHeight="1" x14ac:dyDescent="0.4">
      <c r="A113" s="450" t="s">
        <v>100</v>
      </c>
      <c r="B113" s="451">
        <v>1</v>
      </c>
      <c r="C113" s="598">
        <v>6</v>
      </c>
      <c r="D113" s="600">
        <v>108222870</v>
      </c>
      <c r="E113" s="578">
        <f t="shared" si="1"/>
        <v>306.324372880932</v>
      </c>
      <c r="F113" s="605">
        <f t="shared" si="2"/>
        <v>102.108124293644</v>
      </c>
    </row>
    <row r="114" spans="1:10" ht="27" customHeight="1" x14ac:dyDescent="0.4">
      <c r="A114" s="450" t="s">
        <v>101</v>
      </c>
      <c r="B114" s="451">
        <v>1</v>
      </c>
      <c r="C114" s="559"/>
      <c r="D114" s="517"/>
      <c r="E114" s="424"/>
      <c r="F114" s="606"/>
    </row>
    <row r="115" spans="1:10" ht="26.25" customHeight="1" x14ac:dyDescent="0.4">
      <c r="A115" s="450" t="s">
        <v>102</v>
      </c>
      <c r="B115" s="451">
        <v>1</v>
      </c>
      <c r="C115" s="559"/>
      <c r="D115" s="583" t="s">
        <v>71</v>
      </c>
      <c r="E115" s="585">
        <f>AVERAGE(E108:E113)</f>
        <v>304.36482445172317</v>
      </c>
      <c r="F115" s="607">
        <f>AVERAGE(F108:F113)</f>
        <v>101.45494148390772</v>
      </c>
    </row>
    <row r="116" spans="1:10" ht="27" customHeight="1" x14ac:dyDescent="0.4">
      <c r="A116" s="450" t="s">
        <v>103</v>
      </c>
      <c r="B116" s="482">
        <f>(B115/B114)*(B113/B112)*(B111/B110)*(B109/B108)*B107</f>
        <v>900</v>
      </c>
      <c r="C116" s="560"/>
      <c r="D116" s="584" t="s">
        <v>84</v>
      </c>
      <c r="E116" s="582">
        <f>STDEV(E108:E113)/E115</f>
        <v>1.0370510991272145E-2</v>
      </c>
      <c r="F116" s="561">
        <f>STDEV(F108:F113)/F115</f>
        <v>1.0370510991272152E-2</v>
      </c>
      <c r="I116" s="424"/>
    </row>
    <row r="117" spans="1:10" ht="27" customHeight="1" x14ac:dyDescent="0.4">
      <c r="A117" s="714" t="s">
        <v>78</v>
      </c>
      <c r="B117" s="715"/>
      <c r="C117" s="562"/>
      <c r="D117" s="521" t="s">
        <v>20</v>
      </c>
      <c r="E117" s="587">
        <f>COUNT(E108:E113)</f>
        <v>6</v>
      </c>
      <c r="F117" s="588">
        <f>COUNT(F108:F113)</f>
        <v>6</v>
      </c>
      <c r="I117" s="424"/>
      <c r="J117" s="555"/>
    </row>
    <row r="118" spans="1:10" ht="26.25" customHeight="1" x14ac:dyDescent="0.3">
      <c r="A118" s="716"/>
      <c r="B118" s="717"/>
      <c r="C118" s="424"/>
      <c r="D118" s="586"/>
      <c r="E118" s="742" t="s">
        <v>123</v>
      </c>
      <c r="F118" s="743"/>
      <c r="G118" s="424"/>
      <c r="H118" s="424"/>
      <c r="I118" s="424"/>
    </row>
    <row r="119" spans="1:10" ht="25.5" customHeight="1" x14ac:dyDescent="0.4">
      <c r="A119" s="571"/>
      <c r="B119" s="446"/>
      <c r="C119" s="424"/>
      <c r="D119" s="584" t="s">
        <v>124</v>
      </c>
      <c r="E119" s="589">
        <f>MIN(E108:E113)</f>
        <v>300.80676298637633</v>
      </c>
      <c r="F119" s="608">
        <f>MIN(F108:F113)</f>
        <v>100.26892099545877</v>
      </c>
      <c r="G119" s="424"/>
      <c r="H119" s="424"/>
      <c r="I119" s="424"/>
    </row>
    <row r="120" spans="1:10" ht="24" customHeight="1" x14ac:dyDescent="0.4">
      <c r="A120" s="571"/>
      <c r="B120" s="446"/>
      <c r="C120" s="424"/>
      <c r="D120" s="493" t="s">
        <v>125</v>
      </c>
      <c r="E120" s="590">
        <f>MAX(E108:E113)</f>
        <v>307.81811889111981</v>
      </c>
      <c r="F120" s="609">
        <f>MAX(F108:F113)</f>
        <v>102.60603963037327</v>
      </c>
      <c r="G120" s="424"/>
      <c r="H120" s="424"/>
      <c r="I120" s="424"/>
    </row>
    <row r="121" spans="1:10" ht="27" customHeight="1" x14ac:dyDescent="0.3">
      <c r="A121" s="571"/>
      <c r="B121" s="446"/>
      <c r="C121" s="424"/>
      <c r="D121" s="424"/>
      <c r="E121" s="424"/>
      <c r="F121" s="517"/>
      <c r="G121" s="424"/>
      <c r="H121" s="424"/>
      <c r="I121" s="424"/>
    </row>
    <row r="122" spans="1:10" ht="25.5" customHeight="1" x14ac:dyDescent="0.3">
      <c r="A122" s="571"/>
      <c r="B122" s="446"/>
      <c r="C122" s="424"/>
      <c r="D122" s="424"/>
      <c r="E122" s="424"/>
      <c r="F122" s="517"/>
      <c r="G122" s="424"/>
      <c r="H122" s="424"/>
      <c r="I122" s="424"/>
    </row>
    <row r="123" spans="1:10" ht="18.75" x14ac:dyDescent="0.3">
      <c r="A123" s="571"/>
      <c r="B123" s="446"/>
      <c r="C123" s="424"/>
      <c r="D123" s="424"/>
      <c r="E123" s="424"/>
      <c r="F123" s="517"/>
      <c r="G123" s="424"/>
      <c r="H123" s="424"/>
      <c r="I123" s="424"/>
    </row>
    <row r="124" spans="1:10" ht="45.75" customHeight="1" x14ac:dyDescent="0.65">
      <c r="A124" s="434" t="s">
        <v>106</v>
      </c>
      <c r="B124" s="523" t="s">
        <v>126</v>
      </c>
      <c r="C124" s="718" t="str">
        <f>B26</f>
        <v>Zidovudine</v>
      </c>
      <c r="D124" s="718"/>
      <c r="E124" s="524" t="s">
        <v>127</v>
      </c>
      <c r="F124" s="524"/>
      <c r="G124" s="610">
        <f>F115</f>
        <v>101.45494148390772</v>
      </c>
      <c r="H124" s="424"/>
      <c r="I124" s="424"/>
    </row>
    <row r="125" spans="1:10" ht="45.75" customHeight="1" x14ac:dyDescent="0.65">
      <c r="A125" s="434"/>
      <c r="B125" s="523" t="s">
        <v>128</v>
      </c>
      <c r="C125" s="435" t="s">
        <v>129</v>
      </c>
      <c r="D125" s="610">
        <f>MIN(F108:F113)</f>
        <v>100.26892099545877</v>
      </c>
      <c r="E125" s="535" t="s">
        <v>130</v>
      </c>
      <c r="F125" s="610">
        <f>MAX(F108:F113)</f>
        <v>102.60603963037327</v>
      </c>
      <c r="G125" s="525"/>
      <c r="H125" s="424"/>
      <c r="I125" s="424"/>
    </row>
    <row r="126" spans="1:10" ht="19.5" customHeight="1" x14ac:dyDescent="0.3">
      <c r="A126" s="563"/>
      <c r="B126" s="563"/>
      <c r="C126" s="564"/>
      <c r="D126" s="564"/>
      <c r="E126" s="564"/>
      <c r="F126" s="564"/>
      <c r="G126" s="564"/>
      <c r="H126" s="564"/>
    </row>
    <row r="127" spans="1:10" ht="18.75" x14ac:dyDescent="0.3">
      <c r="B127" s="719" t="s">
        <v>26</v>
      </c>
      <c r="C127" s="719"/>
      <c r="E127" s="530" t="s">
        <v>27</v>
      </c>
      <c r="F127" s="565"/>
      <c r="G127" s="719" t="s">
        <v>28</v>
      </c>
      <c r="H127" s="719"/>
    </row>
    <row r="128" spans="1:10" ht="69.95" customHeight="1" x14ac:dyDescent="0.3">
      <c r="A128" s="566" t="s">
        <v>29</v>
      </c>
      <c r="B128" s="567"/>
      <c r="C128" s="567"/>
      <c r="E128" s="567"/>
      <c r="F128" s="424"/>
      <c r="G128" s="568"/>
      <c r="H128" s="568"/>
    </row>
    <row r="129" spans="1:9" ht="69.95" customHeight="1" x14ac:dyDescent="0.3">
      <c r="A129" s="566" t="s">
        <v>30</v>
      </c>
      <c r="B129" s="569"/>
      <c r="C129" s="569"/>
      <c r="E129" s="569"/>
      <c r="F129" s="424"/>
      <c r="G129" s="570"/>
      <c r="H129" s="570"/>
    </row>
    <row r="130" spans="1:9" ht="18.75" x14ac:dyDescent="0.3">
      <c r="A130" s="516"/>
      <c r="B130" s="516"/>
      <c r="C130" s="517"/>
      <c r="D130" s="517"/>
      <c r="E130" s="517"/>
      <c r="F130" s="520"/>
      <c r="G130" s="517"/>
      <c r="H130" s="517"/>
      <c r="I130" s="424"/>
    </row>
    <row r="131" spans="1:9" ht="18.75" x14ac:dyDescent="0.3">
      <c r="A131" s="516"/>
      <c r="B131" s="516"/>
      <c r="C131" s="517"/>
      <c r="D131" s="517"/>
      <c r="E131" s="517"/>
      <c r="F131" s="520"/>
      <c r="G131" s="517"/>
      <c r="H131" s="517"/>
      <c r="I131" s="424"/>
    </row>
    <row r="132" spans="1:9" ht="18.75" x14ac:dyDescent="0.3">
      <c r="A132" s="516"/>
      <c r="B132" s="516"/>
      <c r="C132" s="517"/>
      <c r="D132" s="517"/>
      <c r="E132" s="517"/>
      <c r="F132" s="520"/>
      <c r="G132" s="517"/>
      <c r="H132" s="517"/>
      <c r="I132" s="424"/>
    </row>
    <row r="133" spans="1:9" ht="18.75" x14ac:dyDescent="0.3">
      <c r="A133" s="516"/>
      <c r="B133" s="516"/>
      <c r="C133" s="517"/>
      <c r="D133" s="517"/>
      <c r="E133" s="517"/>
      <c r="F133" s="520"/>
      <c r="G133" s="517"/>
      <c r="H133" s="517"/>
      <c r="I133" s="424"/>
    </row>
    <row r="134" spans="1:9" ht="18.75" x14ac:dyDescent="0.3">
      <c r="A134" s="516"/>
      <c r="B134" s="516"/>
      <c r="C134" s="517"/>
      <c r="D134" s="517"/>
      <c r="E134" s="517"/>
      <c r="F134" s="520"/>
      <c r="G134" s="517"/>
      <c r="H134" s="517"/>
      <c r="I134" s="424"/>
    </row>
    <row r="135" spans="1:9" ht="18.75" x14ac:dyDescent="0.3">
      <c r="A135" s="516"/>
      <c r="B135" s="516"/>
      <c r="C135" s="517"/>
      <c r="D135" s="517"/>
      <c r="E135" s="517"/>
      <c r="F135" s="520"/>
      <c r="G135" s="517"/>
      <c r="H135" s="517"/>
      <c r="I135" s="424"/>
    </row>
    <row r="136" spans="1:9" ht="18.75" x14ac:dyDescent="0.3">
      <c r="A136" s="516"/>
      <c r="B136" s="516"/>
      <c r="C136" s="517"/>
      <c r="D136" s="517"/>
      <c r="E136" s="517"/>
      <c r="F136" s="520"/>
      <c r="G136" s="517"/>
      <c r="H136" s="517"/>
      <c r="I136" s="424"/>
    </row>
    <row r="137" spans="1:9" ht="18.75" x14ac:dyDescent="0.3">
      <c r="A137" s="516"/>
      <c r="B137" s="516"/>
      <c r="C137" s="517"/>
      <c r="D137" s="517"/>
      <c r="E137" s="517"/>
      <c r="F137" s="520"/>
      <c r="G137" s="517"/>
      <c r="H137" s="517"/>
      <c r="I137" s="424"/>
    </row>
    <row r="138" spans="1:9" ht="18.75" x14ac:dyDescent="0.3">
      <c r="A138" s="516"/>
      <c r="B138" s="516"/>
      <c r="C138" s="517"/>
      <c r="D138" s="517"/>
      <c r="E138" s="517"/>
      <c r="F138" s="520"/>
      <c r="G138" s="517"/>
      <c r="H138" s="517"/>
      <c r="I138" s="42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Lam</vt:lpstr>
      <vt:lpstr>SST Nev</vt:lpstr>
      <vt:lpstr>SST Zido</vt:lpstr>
      <vt:lpstr>Uniformity</vt:lpstr>
      <vt:lpstr>Lamivudine</vt:lpstr>
      <vt:lpstr>Nevirapine</vt:lpstr>
      <vt:lpstr>Zidovudine</vt:lpstr>
      <vt:lpstr>Lamivudine!Print_Area</vt:lpstr>
      <vt:lpstr>Nevirapine!Print_Area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2016-11-24T07:33:54Z</cp:lastPrinted>
  <dcterms:created xsi:type="dcterms:W3CDTF">2005-07-05T10:19:27Z</dcterms:created>
  <dcterms:modified xsi:type="dcterms:W3CDTF">2016-11-24T07:56:06Z</dcterms:modified>
</cp:coreProperties>
</file>