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Abacavir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3" l="1"/>
  <c r="D45" i="3" s="1"/>
  <c r="D46" i="3" s="1"/>
  <c r="B69" i="3"/>
  <c r="I39" i="3"/>
  <c r="F45" i="3"/>
  <c r="F46" i="3" s="1"/>
  <c r="I92" i="3"/>
  <c r="D101" i="3"/>
  <c r="D102" i="3" s="1"/>
  <c r="E41" i="3"/>
  <c r="G39" i="3"/>
  <c r="D49" i="3"/>
  <c r="F98" i="3"/>
  <c r="F99" i="3" s="1"/>
  <c r="C50" i="2"/>
  <c r="D97" i="3"/>
  <c r="D98" i="3" s="1"/>
  <c r="D99" i="3" s="1"/>
  <c r="E40" i="3" l="1"/>
  <c r="G38" i="3"/>
  <c r="E38" i="3"/>
  <c r="G40" i="3"/>
  <c r="G41" i="3"/>
  <c r="E39" i="3"/>
  <c r="E94" i="3"/>
  <c r="E91" i="3"/>
  <c r="E92" i="3"/>
  <c r="G93" i="3"/>
  <c r="G91" i="3"/>
  <c r="E93" i="3"/>
  <c r="G92" i="3"/>
  <c r="G94" i="3"/>
  <c r="G42" i="3" l="1"/>
  <c r="E42" i="3"/>
  <c r="D50" i="3"/>
  <c r="G70" i="3" s="1"/>
  <c r="H70" i="3" s="1"/>
  <c r="D52" i="3"/>
  <c r="D103" i="3"/>
  <c r="E109" i="3" s="1"/>
  <c r="F109" i="3" s="1"/>
  <c r="E95" i="3"/>
  <c r="G95" i="3"/>
  <c r="D105" i="3"/>
  <c r="E113" i="3"/>
  <c r="F113" i="3" s="1"/>
  <c r="E112" i="3"/>
  <c r="F112" i="3" s="1"/>
  <c r="G66" i="3" l="1"/>
  <c r="H66" i="3" s="1"/>
  <c r="G63" i="3"/>
  <c r="H63" i="3" s="1"/>
  <c r="G69" i="3"/>
  <c r="H69" i="3" s="1"/>
  <c r="G65" i="3"/>
  <c r="H65" i="3" s="1"/>
  <c r="G60" i="3"/>
  <c r="H60" i="3" s="1"/>
  <c r="G71" i="3"/>
  <c r="H71" i="3" s="1"/>
  <c r="D51" i="3"/>
  <c r="G62" i="3"/>
  <c r="H62" i="3" s="1"/>
  <c r="G61" i="3"/>
  <c r="H61" i="3" s="1"/>
  <c r="G64" i="3"/>
  <c r="H64" i="3" s="1"/>
  <c r="G68" i="3"/>
  <c r="H68" i="3" s="1"/>
  <c r="G67" i="3"/>
  <c r="H67" i="3" s="1"/>
  <c r="E110" i="3"/>
  <c r="F110" i="3" s="1"/>
  <c r="D104" i="3"/>
  <c r="E111" i="3"/>
  <c r="F111" i="3" s="1"/>
  <c r="E108" i="3"/>
  <c r="F108" i="3" s="1"/>
  <c r="G74" i="3" l="1"/>
  <c r="G72" i="3"/>
  <c r="G73" i="3" s="1"/>
  <c r="E119" i="3"/>
  <c r="E115" i="3"/>
  <c r="E116" i="3" s="1"/>
  <c r="E117" i="3"/>
  <c r="E120" i="3"/>
  <c r="F125" i="3"/>
  <c r="F120" i="3"/>
  <c r="F117" i="3"/>
  <c r="D125" i="3"/>
  <c r="F115" i="3"/>
  <c r="F119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<sst xmlns="http://schemas.openxmlformats.org/spreadsheetml/2006/main" count="241" uniqueCount="133">
  <si>
    <t>HPLC System Suitability Report</t>
  </si>
  <si>
    <t>Analysis Data</t>
  </si>
  <si>
    <t>Assay</t>
  </si>
  <si>
    <t>Sample(s)</t>
  </si>
  <si>
    <t>Reference Substance:</t>
  </si>
  <si>
    <t>ABACAVIR TABLETS USP 300 MG</t>
  </si>
  <si>
    <t>% age Purity:</t>
  </si>
  <si>
    <t>NDQB201609137</t>
  </si>
  <si>
    <t>Weight (mg):</t>
  </si>
  <si>
    <t xml:space="preserve">Abacavir Sulfate </t>
  </si>
  <si>
    <t>Standard Conc (mg/mL):</t>
  </si>
  <si>
    <t>Each film coated tablet contains: Abacavir Sulfate USP equivalent to Abacavir 300 mg.</t>
  </si>
  <si>
    <t>2016-09-30 14:37:11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</si>
  <si>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</si>
  <si>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</si>
  <si>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</si>
  <si>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</si>
  <si>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</si>
  <si>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</si>
  <si>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</si>
  <si>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</si>
  <si>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</si>
  <si>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</si>
  <si>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</si>
  <si>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</si>
  <si>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</si>
  <si>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</si>
  <si>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</si>
  <si>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</si>
  <si>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</si>
  <si>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</si>
  <si>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</si>
  <si>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</si>
  <si>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</si>
  <si>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</si>
  <si>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</si>
  <si>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</si>
  <si>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</si>
  <si>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</si>
  <si>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</si>
  <si>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</si>
  <si>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</si>
  <si>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</si>
  <si>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</si>
  <si>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</si>
  <si>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</si>
  <si>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</si>
  <si>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</si>
  <si>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</si>
  <si>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</si>
  <si>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</si>
  <si>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</si>
  <si>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</si>
  <si>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</si>
  <si>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</si>
  <si>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</si>
  <si>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</si>
  <si>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</si>
  <si>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</si>
  <si>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</si>
  <si>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</si>
  <si>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</si>
  <si>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</si>
  <si>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</si>
  <si>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</si>
  <si>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</si>
  <si>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</si>
  <si>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</si>
  <si>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</si>
  <si>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</si>
  <si>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</si>
  <si>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</si>
  <si>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</si>
  <si>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</si>
  <si>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</si>
  <si>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</si>
  <si>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</si>
  <si>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</si>
  <si>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</si>
  <si>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</si>
  <si>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</si>
  <si>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</si>
  <si>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</si>
  <si>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</si>
  <si>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</si>
  <si>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</si>
  <si>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</si>
  <si>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</si>
  <si>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</si>
  <si>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</si>
  <si>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</si>
  <si>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</si>
  <si>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</si>
  <si>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</si>
  <si>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</si>
  <si>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</si>
  <si>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</si>
  <si>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</si>
  <si>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</si>
  <si>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</si>
  <si>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</si>
  <si>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</si>
  <si>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</si>
  <si>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</si>
  <si>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</si>
  <si>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</si>
  <si>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</si>
  <si>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</si>
  <si>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</si>
  <si>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</si>
  <si>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</si>
  <si>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</si>
  <si>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</si>
  <si>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</si>
  <si>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</si>
  <si>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</si>
  <si>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</si>
  <si>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</si>
  <si>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</si>
  <si>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</si>
  <si>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</si>
  <si>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</si>
  <si>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</si>
  <si>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</si>
  <si>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</si>
  <si>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</si>
  <si>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</si>
  <si>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</si>
  <si>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</si>
  <si>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</si>
  <si>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</si>
  <si>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</si>
  <si>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A12-4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</si>
</sst>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F38" sqref="F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B20/25*10/50</f>
        <v>0.20560000000000003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30662651</v>
      </c>
      <c r="C24" s="18">
        <v>71979.899999999994</v>
      </c>
      <c r="D24" s="19">
        <v>1.9</v>
      </c>
      <c r="E24" s="20">
        <v>22</v>
      </c>
    </row>
    <row r="25" spans="1:6" ht="16.5" customHeight="1" x14ac:dyDescent="0.3">
      <c r="A25" s="17">
        <v>2</v>
      </c>
      <c r="B25" s="18">
        <v>30723494</v>
      </c>
      <c r="C25" s="18">
        <v>72341.600000000006</v>
      </c>
      <c r="D25" s="19">
        <v>1.8</v>
      </c>
      <c r="E25" s="19">
        <v>22</v>
      </c>
    </row>
    <row r="26" spans="1:6" ht="16.5" customHeight="1" x14ac:dyDescent="0.3">
      <c r="A26" s="17">
        <v>3</v>
      </c>
      <c r="B26" s="18">
        <v>30649341</v>
      </c>
      <c r="C26" s="18">
        <v>73524.800000000003</v>
      </c>
      <c r="D26" s="19">
        <v>1.9</v>
      </c>
      <c r="E26" s="19">
        <v>22</v>
      </c>
    </row>
    <row r="27" spans="1:6" ht="16.5" customHeight="1" x14ac:dyDescent="0.3">
      <c r="A27" s="17">
        <v>4</v>
      </c>
      <c r="B27" s="18">
        <v>30655391</v>
      </c>
      <c r="C27" s="18">
        <v>72053.2</v>
      </c>
      <c r="D27" s="19">
        <v>1.9</v>
      </c>
      <c r="E27" s="19">
        <v>22</v>
      </c>
    </row>
    <row r="28" spans="1:6" ht="16.5" customHeight="1" x14ac:dyDescent="0.3">
      <c r="A28" s="17">
        <v>5</v>
      </c>
      <c r="B28" s="18">
        <v>30565269</v>
      </c>
      <c r="C28" s="18">
        <v>70561.5</v>
      </c>
      <c r="D28" s="19">
        <v>1.9</v>
      </c>
      <c r="E28" s="19">
        <v>22</v>
      </c>
    </row>
    <row r="29" spans="1:6" ht="16.5" customHeight="1" x14ac:dyDescent="0.3">
      <c r="A29" s="17">
        <v>6</v>
      </c>
      <c r="B29" s="21">
        <v>30463216</v>
      </c>
      <c r="C29" s="21">
        <v>71920.600000000006</v>
      </c>
      <c r="D29" s="22">
        <v>1.9</v>
      </c>
      <c r="E29" s="22">
        <v>22</v>
      </c>
    </row>
    <row r="30" spans="1:6" ht="16.5" customHeight="1" x14ac:dyDescent="0.3">
      <c r="A30" s="23" t="s">
        <v>18</v>
      </c>
      <c r="B30" s="24">
        <f>AVERAGE(B24:B29)</f>
        <v>30619893.666666668</v>
      </c>
      <c r="C30" s="25">
        <f>AVERAGE(C24:C29)</f>
        <v>72063.599999999991</v>
      </c>
      <c r="D30" s="26">
        <f>AVERAGE(D24:D29)</f>
        <v>1.8833333333333335</v>
      </c>
      <c r="E30" s="26">
        <f>AVERAGE(E24:E29)</f>
        <v>22</v>
      </c>
    </row>
    <row r="31" spans="1:6" ht="16.5" customHeight="1" x14ac:dyDescent="0.3">
      <c r="A31" s="27" t="s">
        <v>19</v>
      </c>
      <c r="B31" s="28">
        <f>(STDEV(B24:B29)/B30)</f>
        <v>3.001036719903657E-3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B48" sqref="B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820.68</v>
      </c>
      <c r="D24" s="87">
        <f t="shared" ref="D24:D43" si="0">(C24-$C$46)/$C$46</f>
        <v>-2.4698801038518371E-3</v>
      </c>
      <c r="E24" s="53"/>
    </row>
    <row r="25" spans="1:5" ht="15.75" customHeight="1" x14ac:dyDescent="0.3">
      <c r="C25" s="95">
        <v>812.96</v>
      </c>
      <c r="D25" s="88">
        <f t="shared" si="0"/>
        <v>-1.185347971100466E-2</v>
      </c>
      <c r="E25" s="53"/>
    </row>
    <row r="26" spans="1:5" ht="15.75" customHeight="1" x14ac:dyDescent="0.3">
      <c r="C26" s="95">
        <v>824.91</v>
      </c>
      <c r="D26" s="88">
        <f t="shared" si="0"/>
        <v>2.6716518052488174E-3</v>
      </c>
      <c r="E26" s="53"/>
    </row>
    <row r="27" spans="1:5" ht="15.75" customHeight="1" x14ac:dyDescent="0.3">
      <c r="C27" s="95">
        <v>814.55</v>
      </c>
      <c r="D27" s="88">
        <f t="shared" si="0"/>
        <v>-9.9208471494279249E-3</v>
      </c>
      <c r="E27" s="53"/>
    </row>
    <row r="28" spans="1:5" ht="15.75" customHeight="1" x14ac:dyDescent="0.3">
      <c r="C28" s="95">
        <v>817.5</v>
      </c>
      <c r="D28" s="88">
        <f t="shared" si="0"/>
        <v>-6.3351452270054434E-3</v>
      </c>
      <c r="E28" s="53"/>
    </row>
    <row r="29" spans="1:5" ht="15.75" customHeight="1" x14ac:dyDescent="0.3">
      <c r="C29" s="95">
        <v>816.01</v>
      </c>
      <c r="D29" s="88">
        <f t="shared" si="0"/>
        <v>-8.1462285708730521E-3</v>
      </c>
      <c r="E29" s="53"/>
    </row>
    <row r="30" spans="1:5" ht="15.75" customHeight="1" x14ac:dyDescent="0.3">
      <c r="C30" s="95">
        <v>818.64</v>
      </c>
      <c r="D30" s="88">
        <f t="shared" si="0"/>
        <v>-4.9494841451201829E-3</v>
      </c>
      <c r="E30" s="53"/>
    </row>
    <row r="31" spans="1:5" ht="15.75" customHeight="1" x14ac:dyDescent="0.3">
      <c r="C31" s="95">
        <v>824.97</v>
      </c>
      <c r="D31" s="88">
        <f t="shared" si="0"/>
        <v>2.7445813358744301E-3</v>
      </c>
      <c r="E31" s="53"/>
    </row>
    <row r="32" spans="1:5" ht="15.75" customHeight="1" x14ac:dyDescent="0.3">
      <c r="C32" s="95">
        <v>825.12</v>
      </c>
      <c r="D32" s="88">
        <f t="shared" si="0"/>
        <v>2.9269051624382547E-3</v>
      </c>
      <c r="E32" s="53"/>
    </row>
    <row r="33" spans="1:7" ht="15.75" customHeight="1" x14ac:dyDescent="0.3">
      <c r="C33" s="95">
        <v>812.92</v>
      </c>
      <c r="D33" s="88">
        <f t="shared" si="0"/>
        <v>-1.1902099398088447E-2</v>
      </c>
      <c r="E33" s="53"/>
    </row>
    <row r="34" spans="1:7" ht="15.75" customHeight="1" x14ac:dyDescent="0.3">
      <c r="C34" s="95">
        <v>821.95</v>
      </c>
      <c r="D34" s="88">
        <f t="shared" si="0"/>
        <v>-9.2620503894443886E-4</v>
      </c>
      <c r="E34" s="53"/>
    </row>
    <row r="35" spans="1:7" ht="15.75" customHeight="1" x14ac:dyDescent="0.3">
      <c r="C35" s="95">
        <v>812.93</v>
      </c>
      <c r="D35" s="88">
        <f t="shared" si="0"/>
        <v>-1.1889944476317535E-2</v>
      </c>
      <c r="E35" s="53"/>
    </row>
    <row r="36" spans="1:7" ht="15.75" customHeight="1" x14ac:dyDescent="0.3">
      <c r="C36" s="95">
        <v>829.08</v>
      </c>
      <c r="D36" s="88">
        <f t="shared" si="0"/>
        <v>7.7402541837239972E-3</v>
      </c>
      <c r="E36" s="53"/>
    </row>
    <row r="37" spans="1:7" ht="15.75" customHeight="1" x14ac:dyDescent="0.3">
      <c r="C37" s="95">
        <v>834.82</v>
      </c>
      <c r="D37" s="88">
        <f t="shared" si="0"/>
        <v>1.4717179280234086E-2</v>
      </c>
      <c r="E37" s="53"/>
    </row>
    <row r="38" spans="1:7" ht="15.75" customHeight="1" x14ac:dyDescent="0.3">
      <c r="C38" s="95">
        <v>821.22</v>
      </c>
      <c r="D38" s="88">
        <f t="shared" si="0"/>
        <v>-1.813514328221875E-3</v>
      </c>
      <c r="E38" s="53"/>
    </row>
    <row r="39" spans="1:7" ht="15.75" customHeight="1" x14ac:dyDescent="0.3">
      <c r="C39" s="95">
        <v>821.1</v>
      </c>
      <c r="D39" s="88">
        <f t="shared" si="0"/>
        <v>-1.9593733894729625E-3</v>
      </c>
      <c r="E39" s="53"/>
    </row>
    <row r="40" spans="1:7" ht="15.75" customHeight="1" x14ac:dyDescent="0.3">
      <c r="C40" s="95">
        <v>831.49</v>
      </c>
      <c r="D40" s="88">
        <f t="shared" si="0"/>
        <v>1.0669590330516518E-2</v>
      </c>
      <c r="E40" s="53"/>
    </row>
    <row r="41" spans="1:7" ht="15.75" customHeight="1" x14ac:dyDescent="0.3">
      <c r="C41" s="95">
        <v>838.87</v>
      </c>
      <c r="D41" s="88">
        <f t="shared" si="0"/>
        <v>1.9639922597458042E-2</v>
      </c>
      <c r="E41" s="53"/>
    </row>
    <row r="42" spans="1:7" ht="15.75" customHeight="1" x14ac:dyDescent="0.3">
      <c r="C42" s="95">
        <v>819.27</v>
      </c>
      <c r="D42" s="88">
        <f t="shared" si="0"/>
        <v>-4.1837240735520089E-3</v>
      </c>
      <c r="E42" s="53"/>
    </row>
    <row r="43" spans="1:7" ht="16.5" customHeight="1" x14ac:dyDescent="0.3">
      <c r="C43" s="96">
        <v>835.25</v>
      </c>
      <c r="D43" s="89">
        <f t="shared" si="0"/>
        <v>1.5239840916383736E-2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16454.240000000002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822.7120000000001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822.7120000000001</v>
      </c>
      <c r="C49" s="93">
        <f>-IF(C46&lt;=80,10%,IF(C46&lt;250,7.5%,5%))</f>
        <v>-0.05</v>
      </c>
      <c r="D49" s="81">
        <f>IF(C46&lt;=80,C46*0.9,IF(C46&lt;250,C46*0.925,C46*0.95))</f>
        <v>781.57640000000004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863.84760000000017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3" zoomScale="41" zoomScaleNormal="40" zoomScalePageLayoutView="41" workbookViewId="0">
      <selection activeCell="A108" sqref="A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131</v>
      </c>
      <c r="C26" s="327"/>
    </row>
    <row r="27" spans="1:14" ht="26.25" customHeight="1" x14ac:dyDescent="0.4">
      <c r="A27" s="109" t="s">
        <v>48</v>
      </c>
      <c r="B27" s="333" t="s">
        <v>132</v>
      </c>
      <c r="C27" s="333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572.66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670.74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0.8537734442555982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30613088</v>
      </c>
      <c r="E38" s="133">
        <f>IF(ISBLANK(D38),"-",$D$48/$D$45*D38)</f>
        <v>35054865.256231792</v>
      </c>
      <c r="F38" s="132">
        <v>32075697</v>
      </c>
      <c r="G38" s="134">
        <f>IF(ISBLANK(F38),"-",$D$48/$F$45*F38)</f>
        <v>35340810.051877379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30652137</v>
      </c>
      <c r="E39" s="138">
        <f>IF(ISBLANK(D39),"-",$D$48/$D$45*D39)</f>
        <v>35099580.034217946</v>
      </c>
      <c r="F39" s="137">
        <v>32191304</v>
      </c>
      <c r="G39" s="139">
        <f>IF(ISBLANK(F39),"-",$D$48/$F$45*F39)</f>
        <v>35468185.149218753</v>
      </c>
      <c r="I39" s="311">
        <f>ABS((F43/D43*D42)-F42)/D42</f>
        <v>9.5361610436030895E-3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30707090</v>
      </c>
      <c r="E40" s="138">
        <f>IF(ISBLANK(D40),"-",$D$48/$D$45*D40)</f>
        <v>35162506.3881495</v>
      </c>
      <c r="F40" s="137">
        <v>32196853</v>
      </c>
      <c r="G40" s="139">
        <f>IF(ISBLANK(F40),"-",$D$48/$F$45*F40)</f>
        <v>35474299.004047155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30657438.333333332</v>
      </c>
      <c r="E42" s="148">
        <f>AVERAGE(E38:E41)</f>
        <v>35105650.559533082</v>
      </c>
      <c r="F42" s="147">
        <f>AVERAGE(F38:F41)</f>
        <v>32154618</v>
      </c>
      <c r="G42" s="149">
        <f>AVERAGE(G38:G41)</f>
        <v>35427764.735047765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25.7</v>
      </c>
      <c r="E43" s="140"/>
      <c r="F43" s="152">
        <v>26.71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21.941977517368873</v>
      </c>
      <c r="E44" s="155"/>
      <c r="F44" s="154">
        <f>F43*$B$34</f>
        <v>22.804288696067029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21.832267629782027</v>
      </c>
      <c r="E45" s="158"/>
      <c r="F45" s="157">
        <f>F44*$B$30/100</f>
        <v>22.690267252586697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0.17465814103825622</v>
      </c>
      <c r="E46" s="160"/>
      <c r="F46" s="161">
        <f>F45/$B$45</f>
        <v>0.18152213802069359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29.281772779659835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35266707.647290416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5.2720414896090476E-3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Abacavir Sulfate USP equivalent to Abacavir 300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Abacavir Sulfate </v>
      </c>
      <c r="H56" s="179"/>
    </row>
    <row r="57" spans="1:12" ht="18.75" x14ac:dyDescent="0.3">
      <c r="A57" s="176" t="s">
        <v>88</v>
      </c>
      <c r="B57" s="247">
        <f>Uniformity!C46</f>
        <v>822.7120000000001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4" t="s">
        <v>94</v>
      </c>
      <c r="D60" s="317">
        <v>820.52</v>
      </c>
      <c r="E60" s="182">
        <v>1</v>
      </c>
      <c r="F60" s="183">
        <v>33379018</v>
      </c>
      <c r="G60" s="248">
        <f>IF(ISBLANK(F60),"-",(F60/$D$50*$D$47*$B$68)*($B$57/$D$60))</f>
        <v>296.5632417500226</v>
      </c>
      <c r="H60" s="266">
        <f t="shared" ref="H60:H71" si="0">IF(ISBLANK(F60),"-",(G60/$B$56)*100)</f>
        <v>98.854413916674204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15"/>
      <c r="D61" s="318"/>
      <c r="E61" s="184">
        <v>2</v>
      </c>
      <c r="F61" s="137">
        <v>33364959</v>
      </c>
      <c r="G61" s="249">
        <f>IF(ISBLANK(F61),"-",(F61/$D$50*$D$47*$B$68)*($B$57/$D$60))</f>
        <v>296.43833146609023</v>
      </c>
      <c r="H61" s="267">
        <f t="shared" si="0"/>
        <v>98.812777155363406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33095841</v>
      </c>
      <c r="G62" s="249">
        <f>IF(ISBLANK(F62),"-",(F62/$D$50*$D$47*$B$68)*($B$57/$D$60))</f>
        <v>294.04729328476077</v>
      </c>
      <c r="H62" s="267">
        <f t="shared" si="0"/>
        <v>98.01576442825359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822.19</v>
      </c>
      <c r="E64" s="182">
        <v>1</v>
      </c>
      <c r="F64" s="183">
        <v>33937966</v>
      </c>
      <c r="G64" s="248">
        <f>IF(ISBLANK(F64),"-",(F64/$D$50*$D$47*$B$68)*($B$57/$D$64))</f>
        <v>300.91688390505817</v>
      </c>
      <c r="H64" s="266">
        <f t="shared" si="0"/>
        <v>100.30562796835272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33509972</v>
      </c>
      <c r="G65" s="249">
        <f>IF(ISBLANK(F65),"-",(F65/$D$50*$D$47*$B$68)*($B$57/$D$64))</f>
        <v>297.12200059325153</v>
      </c>
      <c r="H65" s="267">
        <f t="shared" si="0"/>
        <v>99.040666864417176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33495369</v>
      </c>
      <c r="G66" s="249">
        <f>IF(ISBLANK(F66),"-",(F66/$D$50*$D$47*$B$68)*($B$57/$D$64))</f>
        <v>296.99252055146985</v>
      </c>
      <c r="H66" s="267">
        <f t="shared" si="0"/>
        <v>98.997506850489941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1562.5</v>
      </c>
      <c r="C68" s="314" t="s">
        <v>104</v>
      </c>
      <c r="D68" s="317">
        <v>821.29</v>
      </c>
      <c r="E68" s="182">
        <v>1</v>
      </c>
      <c r="F68" s="183">
        <v>33067981</v>
      </c>
      <c r="G68" s="248">
        <f>IF(ISBLANK(F68),"-",(F68/$D$50*$D$47*$B$68)*($B$57/$D$68))</f>
        <v>293.52431316232622</v>
      </c>
      <c r="H68" s="267">
        <f t="shared" si="0"/>
        <v>97.841437720775403</v>
      </c>
    </row>
    <row r="69" spans="1:8" ht="27" customHeight="1" x14ac:dyDescent="0.4">
      <c r="A69" s="172" t="s">
        <v>105</v>
      </c>
      <c r="B69" s="189">
        <f>(D47*B68)/B56*B57</f>
        <v>856.99166666666679</v>
      </c>
      <c r="C69" s="315"/>
      <c r="D69" s="318"/>
      <c r="E69" s="184">
        <v>2</v>
      </c>
      <c r="F69" s="137">
        <v>33095841</v>
      </c>
      <c r="G69" s="249">
        <f>IF(ISBLANK(F69),"-",(F69/$D$50*$D$47*$B$68)*($B$57/$D$68))</f>
        <v>293.77160940229629</v>
      </c>
      <c r="H69" s="267">
        <f t="shared" si="0"/>
        <v>97.923869800765431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32914828</v>
      </c>
      <c r="G70" s="249">
        <f>IF(ISBLANK(F70),"-",(F70/$D$50*$D$47*$B$68)*($B$57/$D$68))</f>
        <v>292.16486732456093</v>
      </c>
      <c r="H70" s="267">
        <f t="shared" si="0"/>
        <v>97.388289108186981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295.72678460442626</v>
      </c>
      <c r="H72" s="269">
        <f>AVERAGE(H60:H71)</f>
        <v>98.575594868142105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8.9364837211559685E-3</v>
      </c>
      <c r="H73" s="253">
        <f>STDEV(H60:H71)/H72</f>
        <v>8.9364837211559581E-3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Abacavir</v>
      </c>
      <c r="D76" s="301"/>
      <c r="E76" s="198" t="s">
        <v>108</v>
      </c>
      <c r="F76" s="198"/>
      <c r="G76" s="199">
        <f>H72</f>
        <v>98.575594868142105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">
        <v>131</v>
      </c>
      <c r="C79" s="335"/>
    </row>
    <row r="80" spans="1:8" ht="26.25" customHeight="1" x14ac:dyDescent="0.4">
      <c r="A80" s="109" t="s">
        <v>48</v>
      </c>
      <c r="B80" s="335" t="s">
        <v>132</v>
      </c>
      <c r="C80" s="335"/>
    </row>
    <row r="81" spans="1:12" ht="27" customHeight="1" x14ac:dyDescent="0.4">
      <c r="A81" s="109" t="s">
        <v>6</v>
      </c>
      <c r="B81" s="201"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572.66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670.74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0.8537734442555982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0.627</v>
      </c>
      <c r="E91" s="133">
        <f>IF(ISBLANK(D91),"-",$D$101/$D$98*D91)</f>
        <v>0.71797397621753589</v>
      </c>
      <c r="F91" s="132">
        <v>0.65800000000000003</v>
      </c>
      <c r="G91" s="134">
        <f>IF(ISBLANK(F91),"-",$D$101/$F$98*F91)</f>
        <v>0.72498044279864959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0.629</v>
      </c>
      <c r="E92" s="138">
        <f>IF(ISBLANK(D92),"-",$D$101/$D$98*D92)</f>
        <v>0.72026416433944196</v>
      </c>
      <c r="F92" s="137">
        <v>0.65800000000000003</v>
      </c>
      <c r="G92" s="139">
        <f>IF(ISBLANK(F92),"-",$D$101/$F$98*F92)</f>
        <v>0.72498044279864959</v>
      </c>
      <c r="I92" s="311">
        <f>ABS((F96/D96*D95)-F95)/D95</f>
        <v>8.4710897420009722E-3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0.628</v>
      </c>
      <c r="E93" s="138">
        <f>IF(ISBLANK(D93),"-",$D$101/$D$98*D93)</f>
        <v>0.71911907027848887</v>
      </c>
      <c r="F93" s="137">
        <v>0.65800000000000003</v>
      </c>
      <c r="G93" s="139">
        <f>IF(ISBLANK(F93),"-",$D$101/$F$98*F93)</f>
        <v>0.72498044279864959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0.628</v>
      </c>
      <c r="E95" s="148">
        <f>AVERAGE(E91:E94)</f>
        <v>0.71911907027848887</v>
      </c>
      <c r="F95" s="211">
        <f>AVERAGE(F91:F94)</f>
        <v>0.65800000000000003</v>
      </c>
      <c r="G95" s="212">
        <f>AVERAGE(G91:G94)</f>
        <v>0.72498044279864959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25.7</v>
      </c>
      <c r="E96" s="140"/>
      <c r="F96" s="152">
        <v>26.71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21.941977517368873</v>
      </c>
      <c r="E97" s="155"/>
      <c r="F97" s="154">
        <f>F96*$B$87</f>
        <v>22.804288696067029</v>
      </c>
    </row>
    <row r="98" spans="1:10" ht="19.5" customHeight="1" x14ac:dyDescent="0.3">
      <c r="A98" s="124" t="s">
        <v>76</v>
      </c>
      <c r="B98" s="217">
        <f>(B97/B96)*(B95/B94)*(B93/B92)*(B91/B90)*B89</f>
        <v>250</v>
      </c>
      <c r="C98" s="215" t="s">
        <v>115</v>
      </c>
      <c r="D98" s="218">
        <f>D97*$B$83/100</f>
        <v>21.832267629782027</v>
      </c>
      <c r="E98" s="158"/>
      <c r="F98" s="157">
        <f>F97*$B$83/100</f>
        <v>22.690267252586697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8.732907051912811E-2</v>
      </c>
      <c r="E99" s="158"/>
      <c r="F99" s="161">
        <f>F98/$B$98</f>
        <v>9.0761069010346793E-2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0.1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29.281772779659835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0.72204975653856929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4.5579673726201817E-3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15</v>
      </c>
      <c r="C108" s="275">
        <v>1</v>
      </c>
      <c r="D108" s="276">
        <v>0.73199999999999998</v>
      </c>
      <c r="E108" s="250">
        <f t="shared" ref="E108:E113" si="1">IF(ISBLANK(D108),"-",D108/$D$103*$D$100*$B$116)</f>
        <v>304.13416528625311</v>
      </c>
      <c r="F108" s="277">
        <f t="shared" ref="F108:F113" si="2">IF(ISBLANK(D108), "-", (E108/$B$56)*100)</f>
        <v>101.37805509541771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0.73</v>
      </c>
      <c r="E109" s="251">
        <f t="shared" si="1"/>
        <v>303.30319762153653</v>
      </c>
      <c r="F109" s="278">
        <f t="shared" si="2"/>
        <v>101.10106587384551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0.72899999999999998</v>
      </c>
      <c r="E110" s="251">
        <f t="shared" si="1"/>
        <v>302.88771378917824</v>
      </c>
      <c r="F110" s="278">
        <f t="shared" si="2"/>
        <v>100.9625712630594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0.72699999999999998</v>
      </c>
      <c r="E111" s="251">
        <f t="shared" si="1"/>
        <v>302.05674612446171</v>
      </c>
      <c r="F111" s="278">
        <f t="shared" si="2"/>
        <v>100.68558204148724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0.72599999999999998</v>
      </c>
      <c r="E112" s="251">
        <f t="shared" si="1"/>
        <v>301.64126229210342</v>
      </c>
      <c r="F112" s="278">
        <f t="shared" si="2"/>
        <v>100.54708743070113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0.72099999999999997</v>
      </c>
      <c r="E113" s="252">
        <f t="shared" si="1"/>
        <v>299.56384313031208</v>
      </c>
      <c r="F113" s="279">
        <f t="shared" si="2"/>
        <v>99.854614376770684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302.26448804064086</v>
      </c>
      <c r="F115" s="281">
        <f>AVERAGE(F108:F113)</f>
        <v>100.75482934688029</v>
      </c>
    </row>
    <row r="116" spans="1:10" ht="27" customHeight="1" x14ac:dyDescent="0.4">
      <c r="A116" s="124" t="s">
        <v>103</v>
      </c>
      <c r="B116" s="156">
        <f>(B115/B114)*(B113/B112)*(B111/B110)*(B109/B108)*B107</f>
        <v>3000</v>
      </c>
      <c r="C116" s="234"/>
      <c r="D116" s="258" t="s">
        <v>84</v>
      </c>
      <c r="E116" s="256">
        <f>STDEV(E108:E113)/E115</f>
        <v>5.270182683898568E-3</v>
      </c>
      <c r="F116" s="235">
        <f>STDEV(F108:F113)/F115</f>
        <v>5.2701826838986209E-3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299.56384313031208</v>
      </c>
      <c r="F119" s="282">
        <f>MIN(F108:F113)</f>
        <v>99.854614376770684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304.13416528625311</v>
      </c>
      <c r="F120" s="283">
        <f>MAX(F108:F113)</f>
        <v>101.37805509541771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Abacavir</v>
      </c>
      <c r="D124" s="301"/>
      <c r="E124" s="198" t="s">
        <v>127</v>
      </c>
      <c r="F124" s="198"/>
      <c r="G124" s="284">
        <f>F115</f>
        <v>100.75482934688029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99.854614376770684</v>
      </c>
      <c r="E125" s="209" t="s">
        <v>130</v>
      </c>
      <c r="F125" s="284">
        <f>MAX(F108:F113)</f>
        <v>101.37805509541771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2016-10-24T09:33:39Z</cp:lastPrinted>
  <dcterms:created xsi:type="dcterms:W3CDTF">2005-07-05T10:19:27Z</dcterms:created>
  <dcterms:modified xsi:type="dcterms:W3CDTF">2016-10-24T09:59:56Z</dcterms:modified>
</cp:coreProperties>
</file>