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RUTTO\"/>
    </mc:Choice>
  </mc:AlternateContent>
  <bookViews>
    <workbookView xWindow="0" yWindow="0" windowWidth="20490" windowHeight="9045" activeTab="4"/>
  </bookViews>
  <sheets>
    <sheet name="SST Lam" sheetId="9" r:id="rId1"/>
    <sheet name="SST Zido" sheetId="10" r:id="rId2"/>
    <sheet name="Uniformity" sheetId="2" r:id="rId3"/>
    <sheet name="Lamivudine" sheetId="5" r:id="rId4"/>
    <sheet name="Zidovudine" sheetId="6" r:id="rId5"/>
  </sheets>
  <externalReferences>
    <externalReference r:id="rId6"/>
  </externalReferences>
  <definedNames>
    <definedName name="_xlnm.Print_Area" localSheetId="3">Lamivudine!$A$1:$I$129</definedName>
    <definedName name="_xlnm.Print_Area" localSheetId="2">Uniformity!$A$1:$H$54</definedName>
    <definedName name="_xlnm.Print_Area" localSheetId="4">Zidovudine!$A$1:$I$129</definedName>
  </definedNames>
  <calcPr calcId="152511"/>
</workbook>
</file>

<file path=xl/calcChain.xml><?xml version="1.0" encoding="utf-8"?>
<calcChain xmlns="http://schemas.openxmlformats.org/spreadsheetml/2006/main">
  <c r="B40" i="10" l="1"/>
  <c r="F38" i="10"/>
  <c r="E38" i="10"/>
  <c r="D38" i="10"/>
  <c r="C38" i="10"/>
  <c r="B38" i="10"/>
  <c r="B39" i="10" s="1"/>
  <c r="B29" i="10"/>
  <c r="B18" i="10"/>
  <c r="F16" i="10"/>
  <c r="E16" i="10"/>
  <c r="D16" i="10"/>
  <c r="C16" i="10"/>
  <c r="B16" i="10"/>
  <c r="B17" i="10" s="1"/>
  <c r="B6" i="10"/>
  <c r="B7" i="10" s="1"/>
  <c r="B5" i="10"/>
  <c r="B39" i="9"/>
  <c r="E37" i="9"/>
  <c r="D37" i="9"/>
  <c r="C37" i="9"/>
  <c r="B37" i="9"/>
  <c r="B38" i="9" s="1"/>
  <c r="B28" i="9"/>
  <c r="B18" i="9"/>
  <c r="E16" i="9"/>
  <c r="D16" i="9"/>
  <c r="C16" i="9"/>
  <c r="B16" i="9"/>
  <c r="B17" i="9" s="1"/>
  <c r="B6" i="9"/>
  <c r="B7" i="9" s="1"/>
  <c r="B5" i="9"/>
  <c r="C124" i="6" l="1"/>
  <c r="B116" i="6"/>
  <c r="D100" i="6" s="1"/>
  <c r="B98" i="6"/>
  <c r="F95" i="6"/>
  <c r="D95" i="6"/>
  <c r="B87" i="6"/>
  <c r="F97" i="6" s="1"/>
  <c r="B81" i="6"/>
  <c r="B83" i="6" s="1"/>
  <c r="B80" i="6"/>
  <c r="B79" i="6"/>
  <c r="C76" i="6"/>
  <c r="B68" i="6"/>
  <c r="C56" i="6"/>
  <c r="B55" i="6"/>
  <c r="B45" i="6"/>
  <c r="D48" i="6" s="1"/>
  <c r="F42" i="6"/>
  <c r="D42" i="6"/>
  <c r="B34" i="6"/>
  <c r="F44" i="6" s="1"/>
  <c r="B30" i="6"/>
  <c r="C124" i="5"/>
  <c r="B116" i="5"/>
  <c r="D100" i="5" s="1"/>
  <c r="B98" i="5"/>
  <c r="F95" i="5"/>
  <c r="D95" i="5"/>
  <c r="B87" i="5"/>
  <c r="F97" i="5" s="1"/>
  <c r="B83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C46" i="2"/>
  <c r="B57" i="6" s="1"/>
  <c r="C45" i="2"/>
  <c r="D41" i="2"/>
  <c r="D33" i="2"/>
  <c r="D29" i="2"/>
  <c r="D25" i="2"/>
  <c r="C19" i="2"/>
  <c r="D37" i="2" l="1"/>
  <c r="D24" i="2"/>
  <c r="D32" i="2"/>
  <c r="D40" i="2"/>
  <c r="D28" i="2"/>
  <c r="D36" i="2"/>
  <c r="I92" i="5"/>
  <c r="D101" i="6"/>
  <c r="D102" i="6" s="1"/>
  <c r="I92" i="6"/>
  <c r="D101" i="5"/>
  <c r="D102" i="5" s="1"/>
  <c r="I39" i="6"/>
  <c r="F45" i="6"/>
  <c r="F46" i="6" s="1"/>
  <c r="I39" i="5"/>
  <c r="F98" i="5"/>
  <c r="F99" i="5" s="1"/>
  <c r="D45" i="5"/>
  <c r="D46" i="5" s="1"/>
  <c r="D49" i="5"/>
  <c r="B69" i="6"/>
  <c r="G91" i="5"/>
  <c r="D49" i="6"/>
  <c r="F98" i="6"/>
  <c r="F99" i="6" s="1"/>
  <c r="D27" i="2"/>
  <c r="D31" i="2"/>
  <c r="D35" i="2"/>
  <c r="D39" i="2"/>
  <c r="D43" i="2"/>
  <c r="C49" i="2"/>
  <c r="F44" i="5"/>
  <c r="F45" i="5" s="1"/>
  <c r="F46" i="5" s="1"/>
  <c r="D97" i="6"/>
  <c r="D98" i="6" s="1"/>
  <c r="D99" i="6" s="1"/>
  <c r="D49" i="2"/>
  <c r="B57" i="5"/>
  <c r="B69" i="5" s="1"/>
  <c r="D44" i="6"/>
  <c r="D45" i="6" s="1"/>
  <c r="D46" i="6" s="1"/>
  <c r="C50" i="2"/>
  <c r="D97" i="5"/>
  <c r="D98" i="5" s="1"/>
  <c r="D99" i="5" s="1"/>
  <c r="D26" i="2"/>
  <c r="D30" i="2"/>
  <c r="D34" i="2"/>
  <c r="D38" i="2"/>
  <c r="D42" i="2"/>
  <c r="B49" i="2"/>
  <c r="D50" i="2"/>
  <c r="E40" i="5" l="1"/>
  <c r="G92" i="6"/>
  <c r="G93" i="6"/>
  <c r="G41" i="6"/>
  <c r="G39" i="6"/>
  <c r="G38" i="6"/>
  <c r="G40" i="6"/>
  <c r="G91" i="6"/>
  <c r="G94" i="6"/>
  <c r="E39" i="5"/>
  <c r="E41" i="5"/>
  <c r="E38" i="5"/>
  <c r="G93" i="5"/>
  <c r="G92" i="5"/>
  <c r="G94" i="5"/>
  <c r="E92" i="6"/>
  <c r="E94" i="6"/>
  <c r="E38" i="6"/>
  <c r="E41" i="6"/>
  <c r="G40" i="5"/>
  <c r="G41" i="5"/>
  <c r="E91" i="6"/>
  <c r="E39" i="6"/>
  <c r="G39" i="5"/>
  <c r="G38" i="5"/>
  <c r="E94" i="5"/>
  <c r="E93" i="5"/>
  <c r="E93" i="6"/>
  <c r="E40" i="6"/>
  <c r="E91" i="5"/>
  <c r="E92" i="5"/>
  <c r="G95" i="5" l="1"/>
  <c r="G95" i="6"/>
  <c r="G42" i="6"/>
  <c r="E42" i="5"/>
  <c r="D50" i="5"/>
  <c r="G68" i="5" s="1"/>
  <c r="H68" i="5" s="1"/>
  <c r="D52" i="5"/>
  <c r="G42" i="5"/>
  <c r="D103" i="6"/>
  <c r="E95" i="6"/>
  <c r="D105" i="6"/>
  <c r="D50" i="6"/>
  <c r="E42" i="6"/>
  <c r="D52" i="6"/>
  <c r="E95" i="5"/>
  <c r="D105" i="5"/>
  <c r="D103" i="5"/>
  <c r="G63" i="5" l="1"/>
  <c r="H63" i="5" s="1"/>
  <c r="D51" i="5"/>
  <c r="G66" i="5"/>
  <c r="H66" i="5" s="1"/>
  <c r="G65" i="5"/>
  <c r="H65" i="5" s="1"/>
  <c r="G60" i="5"/>
  <c r="H60" i="5" s="1"/>
  <c r="G69" i="5"/>
  <c r="H69" i="5" s="1"/>
  <c r="G67" i="5"/>
  <c r="H67" i="5" s="1"/>
  <c r="G62" i="5"/>
  <c r="H62" i="5" s="1"/>
  <c r="G71" i="5"/>
  <c r="H71" i="5" s="1"/>
  <c r="G61" i="5"/>
  <c r="H61" i="5" s="1"/>
  <c r="G70" i="5"/>
  <c r="H70" i="5" s="1"/>
  <c r="G64" i="5"/>
  <c r="H64" i="5" s="1"/>
  <c r="E113" i="6"/>
  <c r="F113" i="6" s="1"/>
  <c r="E111" i="6"/>
  <c r="F111" i="6" s="1"/>
  <c r="E109" i="6"/>
  <c r="F109" i="6" s="1"/>
  <c r="D104" i="6"/>
  <c r="E112" i="6"/>
  <c r="F112" i="6" s="1"/>
  <c r="E110" i="6"/>
  <c r="F110" i="6" s="1"/>
  <c r="E108" i="6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D51" i="6"/>
  <c r="G70" i="6"/>
  <c r="H70" i="6" s="1"/>
  <c r="G67" i="6"/>
  <c r="H67" i="6" s="1"/>
  <c r="G65" i="6"/>
  <c r="H65" i="6" s="1"/>
  <c r="G63" i="6"/>
  <c r="H63" i="6" s="1"/>
  <c r="G61" i="6"/>
  <c r="H61" i="6" s="1"/>
  <c r="G68" i="6"/>
  <c r="H68" i="6" s="1"/>
  <c r="G71" i="6"/>
  <c r="H71" i="6" s="1"/>
  <c r="G69" i="6"/>
  <c r="H69" i="6" s="1"/>
  <c r="G66" i="6"/>
  <c r="H66" i="6" s="1"/>
  <c r="G64" i="6"/>
  <c r="H64" i="6" s="1"/>
  <c r="G62" i="6"/>
  <c r="H62" i="6" s="1"/>
  <c r="G60" i="6"/>
  <c r="G72" i="5" l="1"/>
  <c r="G73" i="5" s="1"/>
  <c r="G74" i="5"/>
  <c r="H74" i="5"/>
  <c r="H72" i="5"/>
  <c r="E120" i="6"/>
  <c r="E117" i="6"/>
  <c r="F108" i="6"/>
  <c r="E115" i="6"/>
  <c r="E116" i="6" s="1"/>
  <c r="E119" i="6"/>
  <c r="G74" i="6"/>
  <c r="G72" i="6"/>
  <c r="G73" i="6" s="1"/>
  <c r="H60" i="6"/>
  <c r="E115" i="5"/>
  <c r="E116" i="5" s="1"/>
  <c r="E119" i="5"/>
  <c r="E120" i="5"/>
  <c r="E117" i="5"/>
  <c r="F108" i="5"/>
  <c r="F119" i="5" l="1"/>
  <c r="F125" i="5"/>
  <c r="F120" i="5"/>
  <c r="F117" i="5"/>
  <c r="D125" i="5"/>
  <c r="F115" i="5"/>
  <c r="H74" i="6"/>
  <c r="H72" i="6"/>
  <c r="G76" i="5"/>
  <c r="H73" i="5"/>
  <c r="F125" i="6"/>
  <c r="F120" i="6"/>
  <c r="F117" i="6"/>
  <c r="D125" i="6"/>
  <c r="F115" i="6"/>
  <c r="F119" i="6"/>
  <c r="G124" i="6" l="1"/>
  <c r="F116" i="6"/>
  <c r="G76" i="6"/>
  <c r="H73" i="6"/>
  <c r="G124" i="5"/>
  <c r="F116" i="5"/>
</calcChain>
</file>

<file path=xl/sharedStrings.xml><?xml version="1.0" encoding="utf-8"?>
<sst xmlns="http://schemas.openxmlformats.org/spreadsheetml/2006/main" count="459" uniqueCount="145">
  <si>
    <t>HPLC System Suitability Report</t>
  </si>
  <si>
    <t>Analysis Data</t>
  </si>
  <si>
    <t>Assay</t>
  </si>
  <si>
    <t>Sample(s)</t>
  </si>
  <si>
    <t>Reference Substance:</t>
  </si>
  <si>
    <t xml:space="preserve">LAMIVUDINE / ZIDOVIDNE TABLETS 150 MG/300 MG
</t>
  </si>
  <si>
    <t>% age Purity:</t>
  </si>
  <si>
    <t>NDQB201609138</t>
  </si>
  <si>
    <t>Weight (mg):</t>
  </si>
  <si>
    <t xml:space="preserve">LAMIVUDINE  &amp; ZIDOVUDINE </t>
  </si>
  <si>
    <t>Standard Conc (mg/mL):</t>
  </si>
  <si>
    <t xml:space="preserve">Each film coated tablet contains: Lamivudine USP 150 mg and Zidovudine USP
300 mg.
</t>
  </si>
  <si>
    <t>2016-09-30 14:43:47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</si>
  <si>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</si>
  <si>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</si>
  <si>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</si>
  <si>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</si>
  <si>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</si>
  <si>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</si>
  <si>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</si>
  <si>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</si>
  <si>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</si>
  <si>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</si>
  <si>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</si>
  <si>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</si>
  <si>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</si>
  <si>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</si>
  <si>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</si>
  <si>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</si>
  <si>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</si>
  <si>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</si>
  <si>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</si>
  <si>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</si>
  <si>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</si>
  <si>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</si>
  <si>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</si>
  <si>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</si>
  <si>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</si>
  <si>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</si>
  <si>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</si>
  <si>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</si>
  <si>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</si>
  <si>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</si>
  <si>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</si>
  <si>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</si>
  <si>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</si>
  <si>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</si>
  <si>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</si>
  <si>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</si>
  <si>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</si>
  <si>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</si>
  <si>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</si>
  <si>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</si>
  <si>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</si>
  <si>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</si>
  <si>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</si>
  <si>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</si>
  <si>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</si>
  <si>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</si>
  <si>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</si>
  <si>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</si>
  <si>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</si>
  <si>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</si>
  <si>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</si>
  <si>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</si>
  <si>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</si>
  <si>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</si>
  <si>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</si>
  <si>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</si>
  <si>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</si>
  <si>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</si>
  <si>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</si>
  <si>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</si>
  <si>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</si>
  <si>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</si>
  <si>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</si>
  <si>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</si>
  <si>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</si>
  <si>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</si>
  <si>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</si>
  <si>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</si>
  <si>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</si>
  <si>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</si>
  <si>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</si>
  <si>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</si>
  <si>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</si>
  <si>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</si>
  <si>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</si>
  <si>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</si>
  <si>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If correction for water content is not needed please enter 0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</si>
  <si>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</si>
  <si>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</si>
  <si>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</si>
  <si>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</si>
  <si>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</si>
  <si>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</si>
  <si>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</si>
  <si>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</si>
  <si>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</si>
  <si>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</si>
  <si>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</si>
  <si>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</si>
  <si>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</si>
  <si>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</si>
  <si>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</si>
  <si>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</si>
  <si>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</si>
  <si>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</si>
  <si>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</si>
  <si>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</si>
  <si>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</si>
  <si>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</si>
  <si>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</si>
  <si>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</si>
  <si>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</si>
  <si>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</si>
  <si>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</si>
  <si>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</si>
  <si>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</si>
  <si>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</si>
  <si>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</si>
  <si>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</si>
  <si>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</si>
  <si>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</si>
  <si>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Unit No.</t>
  </si>
  <si>
    <t>Range</t>
  </si>
  <si>
    <t>Minimum:</t>
  </si>
  <si>
    <t>Maximum:</t>
  </si>
  <si>
    <t>Range:</t>
  </si>
  <si>
    <t>Minimum</t>
  </si>
  <si>
    <t>Maximum</t>
  </si>
  <si>
    <t>Lamivudine</t>
  </si>
  <si>
    <t>Zidovudine</t>
  </si>
  <si>
    <t>Z1-1</t>
  </si>
  <si>
    <t>LAMIVUDINE / NEVIRAPINE / ZIDOVUDINE  DISPERSIBLE TABLETS 30 MG/50 MG/60 MG</t>
  </si>
  <si>
    <t>Resolution</t>
  </si>
  <si>
    <r>
      <t xml:space="preserve">The Resolution between Lamivudine and Zidovudine is </t>
    </r>
    <r>
      <rPr>
        <b/>
        <sz val="12"/>
        <color rgb="FF000000"/>
        <rFont val="Book Antiqua"/>
        <family val="1"/>
      </rPr>
      <t>NLT 3.0</t>
    </r>
  </si>
  <si>
    <t>NDQE201607029</t>
  </si>
  <si>
    <t>RUTTO KENNEDY</t>
  </si>
  <si>
    <t>14/11/2016</t>
  </si>
  <si>
    <t>Resolution(USP)</t>
  </si>
  <si>
    <r>
      <t xml:space="preserve">The Resolution between Lamivudine and Zidovudine is </t>
    </r>
    <r>
      <rPr>
        <b/>
        <sz val="12"/>
        <color rgb="FF000000"/>
        <rFont val="Book Antiqua"/>
        <family val="1"/>
      </rPr>
      <t>NLT 8.0</t>
    </r>
  </si>
  <si>
    <t>LAMIVUDINE/ZIDOVUDINE TABLETS  150 MG/300 MG</t>
  </si>
  <si>
    <t>Each Film Coated Tablet Contains Lamivudine USP 150MG, Nevirapine USP 200MG, Zidovudine USP 300MG</t>
  </si>
  <si>
    <t>103M88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</si>
</sst>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  <numFmt numFmtId="172" formatCode="dd\-mmm\-yyyy"/>
    <numFmt numFmtId="173" formatCode="0.0\ &quot;mg&quot;"/>
    <numFmt numFmtId="174" formatCode="0.00\ &quot;%&quot;"/>
    <numFmt numFmtId="175" formatCode="0\ &quot;%&quot;"/>
    <numFmt numFmtId="176" formatCode="0.0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14"/>
      <color rgb="FF000000"/>
      <name val="Calibri"/>
    </font>
    <font>
      <b/>
      <u/>
      <sz val="16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6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2" fontId="13" fillId="3" borderId="0" xfId="0" applyNumberFormat="1" applyFont="1" applyFill="1" applyAlignment="1" applyProtection="1">
      <alignment horizontal="center"/>
      <protection locked="0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21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8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right"/>
    </xf>
    <xf numFmtId="0" fontId="14" fillId="3" borderId="30" xfId="0" applyFont="1" applyFill="1" applyBorder="1" applyAlignment="1" applyProtection="1">
      <alignment horizontal="center"/>
      <protection locked="0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44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4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27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11" fillId="2" borderId="30" xfId="0" applyFont="1" applyFill="1" applyBorder="1" applyAlignment="1">
      <alignment horizontal="center"/>
    </xf>
    <xf numFmtId="0" fontId="14" fillId="3" borderId="22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23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2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170" fontId="11" fillId="2" borderId="34" xfId="0" applyNumberFormat="1" applyFont="1" applyFill="1" applyBorder="1" applyAlignment="1">
      <alignment horizontal="center"/>
    </xf>
    <xf numFmtId="170" fontId="11" fillId="2" borderId="35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30" xfId="0" applyFont="1" applyFill="1" applyBorder="1" applyAlignment="1">
      <alignment horizontal="right"/>
    </xf>
    <xf numFmtId="1" fontId="12" fillId="6" borderId="36" xfId="0" applyNumberFormat="1" applyFont="1" applyFill="1" applyBorder="1" applyAlignment="1">
      <alignment horizontal="center"/>
    </xf>
    <xf numFmtId="170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0" xfId="0" applyFont="1" applyFill="1" applyBorder="1" applyAlignment="1">
      <alignment horizontal="center"/>
    </xf>
    <xf numFmtId="2" fontId="11" fillId="7" borderId="40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0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6" fontId="14" fillId="3" borderId="40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0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3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4" fillId="3" borderId="22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4" fillId="3" borderId="42" xfId="0" applyFont="1" applyFill="1" applyBorder="1" applyAlignment="1" applyProtection="1">
      <alignment horizontal="center"/>
      <protection locked="0"/>
    </xf>
    <xf numFmtId="0" fontId="13" fillId="2" borderId="30" xfId="0" applyFont="1" applyFill="1" applyBorder="1" applyAlignment="1">
      <alignment horizontal="center"/>
    </xf>
    <xf numFmtId="2" fontId="13" fillId="2" borderId="43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4" fillId="7" borderId="53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2" fillId="2" borderId="45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1" fillId="2" borderId="4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4" fillId="3" borderId="33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4" xfId="0" applyNumberFormat="1" applyFont="1" applyFill="1" applyBorder="1" applyAlignment="1">
      <alignment horizontal="center"/>
    </xf>
    <xf numFmtId="1" fontId="12" fillId="6" borderId="47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5" xfId="0" applyFont="1" applyFill="1" applyBorder="1" applyAlignment="1">
      <alignment horizontal="right"/>
    </xf>
    <xf numFmtId="0" fontId="14" fillId="3" borderId="48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4" xfId="0" applyNumberFormat="1" applyFont="1" applyFill="1" applyBorder="1" applyAlignment="1">
      <alignment horizontal="center"/>
    </xf>
    <xf numFmtId="166" fontId="11" fillId="6" borderId="44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4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2" fontId="11" fillId="7" borderId="2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0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 wrapText="1"/>
    </xf>
    <xf numFmtId="0" fontId="11" fillId="2" borderId="22" xfId="0" applyFont="1" applyFill="1" applyBorder="1" applyAlignment="1">
      <alignment horizontal="center"/>
    </xf>
    <xf numFmtId="0" fontId="11" fillId="2" borderId="22" xfId="0" applyFont="1" applyFill="1" applyBorder="1"/>
    <xf numFmtId="10" fontId="14" fillId="6" borderId="44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2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4" fillId="6" borderId="56" xfId="0" applyNumberFormat="1" applyFont="1" applyFill="1" applyBorder="1" applyAlignment="1">
      <alignment horizontal="center"/>
    </xf>
    <xf numFmtId="2" fontId="14" fillId="7" borderId="32" xfId="0" applyNumberFormat="1" applyFont="1" applyFill="1" applyBorder="1" applyAlignment="1">
      <alignment horizontal="center"/>
    </xf>
    <xf numFmtId="0" fontId="13" fillId="2" borderId="0" xfId="0" applyFont="1" applyFill="1"/>
    <xf numFmtId="10" fontId="14" fillId="6" borderId="56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4" fillId="7" borderId="51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4" fillId="7" borderId="28" xfId="0" applyFont="1" applyFill="1" applyBorder="1" applyAlignment="1">
      <alignment horizontal="center"/>
    </xf>
    <xf numFmtId="0" fontId="14" fillId="7" borderId="57" xfId="0" applyFont="1" applyFill="1" applyBorder="1" applyAlignment="1">
      <alignment horizontal="center"/>
    </xf>
    <xf numFmtId="2" fontId="14" fillId="6" borderId="56" xfId="0" applyNumberFormat="1" applyFont="1" applyFill="1" applyBorder="1" applyAlignment="1">
      <alignment horizontal="center"/>
    </xf>
    <xf numFmtId="2" fontId="14" fillId="7" borderId="53" xfId="0" applyNumberFormat="1" applyFont="1" applyFill="1" applyBorder="1" applyAlignment="1">
      <alignment horizontal="center"/>
    </xf>
    <xf numFmtId="166" fontId="11" fillId="2" borderId="42" xfId="0" applyNumberFormat="1" applyFont="1" applyFill="1" applyBorder="1" applyAlignment="1">
      <alignment horizontal="center"/>
    </xf>
    <xf numFmtId="174" fontId="11" fillId="2" borderId="13" xfId="0" applyNumberFormat="1" applyFont="1" applyFill="1" applyBorder="1" applyAlignment="1">
      <alignment horizontal="center" vertical="center"/>
    </xf>
    <xf numFmtId="174" fontId="11" fillId="2" borderId="14" xfId="0" applyNumberFormat="1" applyFont="1" applyFill="1" applyBorder="1" applyAlignment="1">
      <alignment horizontal="center" vertical="center"/>
    </xf>
    <xf numFmtId="174" fontId="11" fillId="2" borderId="15" xfId="0" applyNumberFormat="1" applyFont="1" applyFill="1" applyBorder="1" applyAlignment="1">
      <alignment horizontal="center" vertical="center"/>
    </xf>
    <xf numFmtId="174" fontId="14" fillId="7" borderId="32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4" fillId="3" borderId="14" xfId="0" applyNumberFormat="1" applyFont="1" applyFill="1" applyBorder="1" applyAlignment="1" applyProtection="1">
      <alignment horizontal="center"/>
      <protection locked="0"/>
    </xf>
    <xf numFmtId="1" fontId="14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4" fillId="3" borderId="13" xfId="0" applyNumberFormat="1" applyFont="1" applyFill="1" applyBorder="1" applyAlignment="1" applyProtection="1">
      <alignment horizontal="center"/>
      <protection locked="0"/>
    </xf>
    <xf numFmtId="174" fontId="11" fillId="2" borderId="24" xfId="0" applyNumberFormat="1" applyFont="1" applyFill="1" applyBorder="1" applyAlignment="1">
      <alignment horizontal="center"/>
    </xf>
    <xf numFmtId="174" fontId="11" fillId="2" borderId="30" xfId="0" applyNumberFormat="1" applyFont="1" applyFill="1" applyBorder="1" applyAlignment="1">
      <alignment horizontal="center"/>
    </xf>
    <xf numFmtId="174" fontId="11" fillId="2" borderId="43" xfId="0" applyNumberFormat="1" applyFont="1" applyFill="1" applyBorder="1" applyAlignment="1">
      <alignment horizontal="center"/>
    </xf>
    <xf numFmtId="174" fontId="11" fillId="2" borderId="30" xfId="0" applyNumberFormat="1" applyFont="1" applyFill="1" applyBorder="1" applyAlignment="1">
      <alignment horizontal="center"/>
    </xf>
    <xf numFmtId="171" fontId="14" fillId="7" borderId="48" xfId="0" applyNumberFormat="1" applyFont="1" applyFill="1" applyBorder="1" applyAlignment="1">
      <alignment horizontal="center"/>
    </xf>
    <xf numFmtId="171" fontId="14" fillId="6" borderId="56" xfId="0" applyNumberFormat="1" applyFont="1" applyFill="1" applyBorder="1" applyAlignment="1">
      <alignment horizontal="center"/>
    </xf>
    <xf numFmtId="171" fontId="14" fillId="7" borderId="53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2" fontId="13" fillId="3" borderId="0" xfId="0" applyNumberFormat="1" applyFont="1" applyFill="1" applyAlignment="1" applyProtection="1">
      <alignment horizontal="center"/>
      <protection locked="0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21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8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right"/>
    </xf>
    <xf numFmtId="0" fontId="14" fillId="3" borderId="30" xfId="0" applyFont="1" applyFill="1" applyBorder="1" applyAlignment="1" applyProtection="1">
      <alignment horizontal="center"/>
      <protection locked="0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44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4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27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11" fillId="2" borderId="30" xfId="0" applyFont="1" applyFill="1" applyBorder="1" applyAlignment="1">
      <alignment horizontal="center"/>
    </xf>
    <xf numFmtId="0" fontId="14" fillId="3" borderId="22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23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2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170" fontId="11" fillId="2" borderId="34" xfId="0" applyNumberFormat="1" applyFont="1" applyFill="1" applyBorder="1" applyAlignment="1">
      <alignment horizontal="center"/>
    </xf>
    <xf numFmtId="170" fontId="11" fillId="2" borderId="35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30" xfId="0" applyFont="1" applyFill="1" applyBorder="1" applyAlignment="1">
      <alignment horizontal="right"/>
    </xf>
    <xf numFmtId="1" fontId="12" fillId="6" borderId="36" xfId="0" applyNumberFormat="1" applyFont="1" applyFill="1" applyBorder="1" applyAlignment="1">
      <alignment horizontal="center"/>
    </xf>
    <xf numFmtId="170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0" xfId="0" applyFont="1" applyFill="1" applyBorder="1" applyAlignment="1">
      <alignment horizontal="center"/>
    </xf>
    <xf numFmtId="2" fontId="11" fillId="7" borderId="40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0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6" fontId="14" fillId="3" borderId="40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0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3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4" fillId="3" borderId="22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4" fillId="3" borderId="42" xfId="0" applyFont="1" applyFill="1" applyBorder="1" applyAlignment="1" applyProtection="1">
      <alignment horizontal="center"/>
      <protection locked="0"/>
    </xf>
    <xf numFmtId="0" fontId="13" fillId="2" borderId="30" xfId="0" applyFont="1" applyFill="1" applyBorder="1" applyAlignment="1">
      <alignment horizontal="center"/>
    </xf>
    <xf numFmtId="2" fontId="13" fillId="2" borderId="43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4" fillId="7" borderId="53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2" fillId="2" borderId="45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1" fillId="2" borderId="4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4" fillId="3" borderId="33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4" xfId="0" applyNumberFormat="1" applyFont="1" applyFill="1" applyBorder="1" applyAlignment="1">
      <alignment horizontal="center"/>
    </xf>
    <xf numFmtId="1" fontId="12" fillId="6" borderId="47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5" xfId="0" applyFont="1" applyFill="1" applyBorder="1" applyAlignment="1">
      <alignment horizontal="right"/>
    </xf>
    <xf numFmtId="0" fontId="14" fillId="3" borderId="48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4" xfId="0" applyNumberFormat="1" applyFont="1" applyFill="1" applyBorder="1" applyAlignment="1">
      <alignment horizontal="center"/>
    </xf>
    <xf numFmtId="166" fontId="11" fillId="6" borderId="44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4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2" fontId="11" fillId="7" borderId="2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0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 wrapText="1"/>
    </xf>
    <xf numFmtId="0" fontId="11" fillId="2" borderId="22" xfId="0" applyFont="1" applyFill="1" applyBorder="1" applyAlignment="1">
      <alignment horizontal="center"/>
    </xf>
    <xf numFmtId="0" fontId="11" fillId="2" borderId="22" xfId="0" applyFont="1" applyFill="1" applyBorder="1"/>
    <xf numFmtId="10" fontId="14" fillId="6" borderId="44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2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4" fillId="6" borderId="56" xfId="0" applyNumberFormat="1" applyFont="1" applyFill="1" applyBorder="1" applyAlignment="1">
      <alignment horizontal="center"/>
    </xf>
    <xf numFmtId="2" fontId="14" fillId="7" borderId="32" xfId="0" applyNumberFormat="1" applyFont="1" applyFill="1" applyBorder="1" applyAlignment="1">
      <alignment horizontal="center"/>
    </xf>
    <xf numFmtId="0" fontId="13" fillId="2" borderId="0" xfId="0" applyFont="1" applyFill="1"/>
    <xf numFmtId="10" fontId="14" fillId="6" borderId="56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4" fillId="7" borderId="51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4" fillId="7" borderId="28" xfId="0" applyFont="1" applyFill="1" applyBorder="1" applyAlignment="1">
      <alignment horizontal="center"/>
    </xf>
    <xf numFmtId="0" fontId="14" fillId="7" borderId="57" xfId="0" applyFont="1" applyFill="1" applyBorder="1" applyAlignment="1">
      <alignment horizontal="center"/>
    </xf>
    <xf numFmtId="2" fontId="14" fillId="6" borderId="56" xfId="0" applyNumberFormat="1" applyFont="1" applyFill="1" applyBorder="1" applyAlignment="1">
      <alignment horizontal="center"/>
    </xf>
    <xf numFmtId="2" fontId="14" fillId="7" borderId="53" xfId="0" applyNumberFormat="1" applyFont="1" applyFill="1" applyBorder="1" applyAlignment="1">
      <alignment horizontal="center"/>
    </xf>
    <xf numFmtId="166" fontId="11" fillId="2" borderId="42" xfId="0" applyNumberFormat="1" applyFont="1" applyFill="1" applyBorder="1" applyAlignment="1">
      <alignment horizontal="center"/>
    </xf>
    <xf numFmtId="174" fontId="11" fillId="2" borderId="13" xfId="0" applyNumberFormat="1" applyFont="1" applyFill="1" applyBorder="1" applyAlignment="1">
      <alignment horizontal="center" vertical="center"/>
    </xf>
    <xf numFmtId="174" fontId="11" fillId="2" borderId="14" xfId="0" applyNumberFormat="1" applyFont="1" applyFill="1" applyBorder="1" applyAlignment="1">
      <alignment horizontal="center" vertical="center"/>
    </xf>
    <xf numFmtId="174" fontId="11" fillId="2" borderId="15" xfId="0" applyNumberFormat="1" applyFont="1" applyFill="1" applyBorder="1" applyAlignment="1">
      <alignment horizontal="center" vertical="center"/>
    </xf>
    <xf numFmtId="174" fontId="14" fillId="7" borderId="32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4" fillId="3" borderId="14" xfId="0" applyNumberFormat="1" applyFont="1" applyFill="1" applyBorder="1" applyAlignment="1" applyProtection="1">
      <alignment horizontal="center"/>
      <protection locked="0"/>
    </xf>
    <xf numFmtId="1" fontId="14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4" fillId="3" borderId="13" xfId="0" applyNumberFormat="1" applyFont="1" applyFill="1" applyBorder="1" applyAlignment="1" applyProtection="1">
      <alignment horizontal="center"/>
      <protection locked="0"/>
    </xf>
    <xf numFmtId="174" fontId="11" fillId="2" borderId="24" xfId="0" applyNumberFormat="1" applyFont="1" applyFill="1" applyBorder="1" applyAlignment="1">
      <alignment horizontal="center"/>
    </xf>
    <xf numFmtId="174" fontId="11" fillId="2" borderId="30" xfId="0" applyNumberFormat="1" applyFont="1" applyFill="1" applyBorder="1" applyAlignment="1">
      <alignment horizontal="center"/>
    </xf>
    <xf numFmtId="174" fontId="11" fillId="2" borderId="43" xfId="0" applyNumberFormat="1" applyFont="1" applyFill="1" applyBorder="1" applyAlignment="1">
      <alignment horizontal="center"/>
    </xf>
    <xf numFmtId="174" fontId="11" fillId="2" borderId="30" xfId="0" applyNumberFormat="1" applyFont="1" applyFill="1" applyBorder="1" applyAlignment="1">
      <alignment horizontal="center"/>
    </xf>
    <xf numFmtId="171" fontId="14" fillId="7" borderId="48" xfId="0" applyNumberFormat="1" applyFont="1" applyFill="1" applyBorder="1" applyAlignment="1">
      <alignment horizontal="center"/>
    </xf>
    <xf numFmtId="171" fontId="14" fillId="6" borderId="56" xfId="0" applyNumberFormat="1" applyFont="1" applyFill="1" applyBorder="1" applyAlignment="1">
      <alignment horizontal="center"/>
    </xf>
    <xf numFmtId="171" fontId="14" fillId="7" borderId="53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2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2" applyFont="1" applyFill="1"/>
    <xf numFmtId="0" fontId="25" fillId="2" borderId="0" xfId="2" applyFill="1"/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5" fillId="2" borderId="50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6" fillId="2" borderId="0" xfId="2" applyFont="1" applyFill="1"/>
    <xf numFmtId="0" fontId="2" fillId="2" borderId="9" xfId="2" applyFont="1" applyFill="1" applyBorder="1"/>
    <xf numFmtId="10" fontId="2" fillId="2" borderId="9" xfId="2" applyNumberFormat="1" applyFont="1" applyFill="1" applyBorder="1"/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10" xfId="1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176" fontId="7" fillId="3" borderId="3" xfId="1" applyNumberFormat="1" applyFont="1" applyFill="1" applyBorder="1" applyAlignment="1" applyProtection="1">
      <alignment horizontal="center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5" xfId="0" applyFont="1" applyFill="1" applyBorder="1" applyAlignment="1">
      <alignment horizontal="center" vertical="center"/>
    </xf>
    <xf numFmtId="0" fontId="12" fillId="2" borderId="51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45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10" fontId="21" fillId="2" borderId="14" xfId="0" applyNumberFormat="1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4" xfId="0" applyFont="1" applyFill="1" applyBorder="1" applyAlignment="1">
      <alignment horizontal="left" vertical="center" wrapText="1"/>
    </xf>
    <xf numFmtId="0" fontId="17" fillId="2" borderId="42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13" xfId="0" applyNumberFormat="1" applyFont="1" applyFill="1" applyBorder="1" applyAlignment="1" applyProtection="1">
      <alignment horizontal="center" vertical="center"/>
      <protection locked="0"/>
    </xf>
    <xf numFmtId="2" fontId="14" fillId="3" borderId="14" xfId="0" applyNumberFormat="1" applyFont="1" applyFill="1" applyBorder="1" applyAlignment="1" applyProtection="1">
      <alignment horizontal="center" vertical="center"/>
      <protection locked="0"/>
    </xf>
    <xf numFmtId="2" fontId="14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42" xfId="0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42" xfId="0" applyFont="1" applyFill="1" applyBorder="1" applyAlignment="1">
      <alignment horizontal="center" vertical="center" wrapText="1"/>
    </xf>
    <xf numFmtId="0" fontId="17" fillId="2" borderId="4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rah/Analysis/November%2016/NDQB20161018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SST Lam"/>
      <sheetName val="SST Zido"/>
      <sheetName val="SST Nev"/>
      <sheetName val="Lamivudine"/>
      <sheetName val="Zidovudine"/>
      <sheetName val="Nevirapin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8">
          <cell r="B28">
            <v>99.3</v>
          </cell>
        </row>
        <row r="43">
          <cell r="D43">
            <v>16.260000000000002</v>
          </cell>
        </row>
      </sheetData>
      <sheetData sheetId="5">
        <row r="28">
          <cell r="B28">
            <v>99</v>
          </cell>
        </row>
        <row r="43">
          <cell r="D43">
            <v>28.1</v>
          </cell>
        </row>
      </sheetData>
      <sheetData sheetId="6">
        <row r="28">
          <cell r="B28">
            <v>99.8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9" workbookViewId="0">
      <selection activeCell="C33" sqref="C33"/>
    </sheetView>
  </sheetViews>
  <sheetFormatPr defaultRowHeight="13.5" x14ac:dyDescent="0.25"/>
  <cols>
    <col min="1" max="1" width="27.5703125" style="424" customWidth="1"/>
    <col min="2" max="2" width="20.42578125" style="424" customWidth="1"/>
    <col min="3" max="3" width="31.85546875" style="424" customWidth="1"/>
    <col min="4" max="4" width="25.85546875" style="424" customWidth="1"/>
    <col min="5" max="5" width="25.7109375" style="424" customWidth="1"/>
    <col min="6" max="6" width="23.140625" style="424" customWidth="1"/>
    <col min="7" max="7" width="28.42578125" style="424" customWidth="1"/>
    <col min="8" max="8" width="21.5703125" style="424" customWidth="1"/>
    <col min="9" max="9" width="9.140625" style="424" customWidth="1"/>
    <col min="10" max="16384" width="9.140625" style="459"/>
  </cols>
  <sheetData>
    <row r="1" spans="1:5" ht="18.75" customHeight="1" x14ac:dyDescent="0.3">
      <c r="A1" s="510" t="s">
        <v>0</v>
      </c>
      <c r="B1" s="510"/>
      <c r="C1" s="510"/>
      <c r="D1" s="510"/>
      <c r="E1" s="510"/>
    </row>
    <row r="2" spans="1:5" ht="16.5" customHeight="1" x14ac:dyDescent="0.3">
      <c r="A2" s="425" t="s">
        <v>1</v>
      </c>
      <c r="B2" s="426" t="s">
        <v>2</v>
      </c>
    </row>
    <row r="3" spans="1:5" ht="16.5" customHeight="1" x14ac:dyDescent="0.3">
      <c r="A3" s="427" t="s">
        <v>3</v>
      </c>
      <c r="B3" s="427" t="s">
        <v>134</v>
      </c>
      <c r="D3" s="428"/>
      <c r="E3" s="429"/>
    </row>
    <row r="4" spans="1:5" ht="16.5" customHeight="1" x14ac:dyDescent="0.3">
      <c r="A4" s="430" t="s">
        <v>4</v>
      </c>
      <c r="B4" s="427" t="s">
        <v>131</v>
      </c>
      <c r="C4" s="429"/>
      <c r="D4" s="429"/>
      <c r="E4" s="429"/>
    </row>
    <row r="5" spans="1:5" ht="16.5" customHeight="1" x14ac:dyDescent="0.3">
      <c r="A5" s="430" t="s">
        <v>6</v>
      </c>
      <c r="B5" s="431">
        <f>[1]Lamivudine!B28</f>
        <v>99.3</v>
      </c>
      <c r="C5" s="429"/>
      <c r="D5" s="429"/>
      <c r="E5" s="429"/>
    </row>
    <row r="6" spans="1:5" ht="16.5" customHeight="1" x14ac:dyDescent="0.3">
      <c r="A6" s="427" t="s">
        <v>8</v>
      </c>
      <c r="B6" s="431">
        <f>[1]Lamivudine!D43</f>
        <v>16.260000000000002</v>
      </c>
      <c r="C6" s="429"/>
      <c r="D6" s="429"/>
      <c r="E6" s="429"/>
    </row>
    <row r="7" spans="1:5" ht="16.5" customHeight="1" x14ac:dyDescent="0.3">
      <c r="A7" s="427" t="s">
        <v>10</v>
      </c>
      <c r="B7" s="432">
        <f>B6/100</f>
        <v>0.16260000000000002</v>
      </c>
      <c r="C7" s="429"/>
      <c r="D7" s="429"/>
      <c r="E7" s="429"/>
    </row>
    <row r="8" spans="1:5" ht="15.75" customHeight="1" x14ac:dyDescent="0.25">
      <c r="A8" s="429"/>
      <c r="B8" s="429"/>
      <c r="C8" s="429"/>
      <c r="D8" s="429"/>
      <c r="E8" s="429"/>
    </row>
    <row r="9" spans="1:5" ht="16.5" customHeight="1" x14ac:dyDescent="0.3">
      <c r="A9" s="433" t="s">
        <v>13</v>
      </c>
      <c r="B9" s="434" t="s">
        <v>14</v>
      </c>
      <c r="C9" s="433" t="s">
        <v>15</v>
      </c>
      <c r="D9" s="433" t="s">
        <v>16</v>
      </c>
      <c r="E9" s="433" t="s">
        <v>17</v>
      </c>
    </row>
    <row r="10" spans="1:5" ht="16.5" customHeight="1" x14ac:dyDescent="0.3">
      <c r="A10" s="435">
        <v>1</v>
      </c>
      <c r="B10" s="436">
        <v>32806262</v>
      </c>
      <c r="C10" s="436">
        <v>6068.33</v>
      </c>
      <c r="D10" s="437">
        <v>1.1399999999999999</v>
      </c>
      <c r="E10" s="438">
        <v>2.85</v>
      </c>
    </row>
    <row r="11" spans="1:5" ht="16.5" customHeight="1" x14ac:dyDescent="0.3">
      <c r="A11" s="435">
        <v>2</v>
      </c>
      <c r="B11" s="436">
        <v>32772647</v>
      </c>
      <c r="C11" s="436">
        <v>6077.74</v>
      </c>
      <c r="D11" s="437">
        <v>1.1499999999999999</v>
      </c>
      <c r="E11" s="437">
        <v>2.85</v>
      </c>
    </row>
    <row r="12" spans="1:5" ht="16.5" customHeight="1" x14ac:dyDescent="0.3">
      <c r="A12" s="435">
        <v>3</v>
      </c>
      <c r="B12" s="436">
        <v>32917670</v>
      </c>
      <c r="C12" s="436">
        <v>6077.4</v>
      </c>
      <c r="D12" s="437">
        <v>1.1499999999999999</v>
      </c>
      <c r="E12" s="437">
        <v>2.85</v>
      </c>
    </row>
    <row r="13" spans="1:5" ht="16.5" customHeight="1" x14ac:dyDescent="0.3">
      <c r="A13" s="435">
        <v>4</v>
      </c>
      <c r="B13" s="436">
        <v>32741396</v>
      </c>
      <c r="C13" s="436">
        <v>6083.06</v>
      </c>
      <c r="D13" s="437">
        <v>1.1399999999999999</v>
      </c>
      <c r="E13" s="437">
        <v>2.85</v>
      </c>
    </row>
    <row r="14" spans="1:5" ht="16.5" customHeight="1" x14ac:dyDescent="0.3">
      <c r="A14" s="435">
        <v>5</v>
      </c>
      <c r="B14" s="436">
        <v>32866836</v>
      </c>
      <c r="C14" s="436">
        <v>6192.54</v>
      </c>
      <c r="D14" s="437">
        <v>1.1000000000000001</v>
      </c>
      <c r="E14" s="437">
        <v>2.85</v>
      </c>
    </row>
    <row r="15" spans="1:5" ht="16.5" customHeight="1" x14ac:dyDescent="0.3">
      <c r="A15" s="435">
        <v>6</v>
      </c>
      <c r="B15" s="439">
        <v>32960195</v>
      </c>
      <c r="C15" s="439">
        <v>6197.57</v>
      </c>
      <c r="D15" s="440">
        <v>1.1000000000000001</v>
      </c>
      <c r="E15" s="440">
        <v>2.85</v>
      </c>
    </row>
    <row r="16" spans="1:5" ht="16.5" customHeight="1" x14ac:dyDescent="0.3">
      <c r="A16" s="441" t="s">
        <v>18</v>
      </c>
      <c r="B16" s="442">
        <f>AVERAGE(B10:B15)</f>
        <v>32844167.666666668</v>
      </c>
      <c r="C16" s="443">
        <f>AVERAGE(C10:C15)</f>
        <v>6116.1066666666666</v>
      </c>
      <c r="D16" s="444">
        <f>AVERAGE(D10:D15)</f>
        <v>1.1299999999999999</v>
      </c>
      <c r="E16" s="444">
        <f>AVERAGE(E10:E15)</f>
        <v>2.85</v>
      </c>
    </row>
    <row r="17" spans="1:5" ht="16.5" customHeight="1" x14ac:dyDescent="0.3">
      <c r="A17" s="445" t="s">
        <v>19</v>
      </c>
      <c r="B17" s="446">
        <f>(STDEV(B10:B15)/B16)</f>
        <v>2.6011214092010165E-3</v>
      </c>
      <c r="C17" s="447"/>
      <c r="D17" s="447"/>
      <c r="E17" s="448"/>
    </row>
    <row r="18" spans="1:5" s="424" customFormat="1" ht="16.5" customHeight="1" x14ac:dyDescent="0.3">
      <c r="A18" s="449" t="s">
        <v>20</v>
      </c>
      <c r="B18" s="450">
        <f>COUNT(B10:B15)</f>
        <v>6</v>
      </c>
      <c r="C18" s="451"/>
      <c r="D18" s="452"/>
      <c r="E18" s="453"/>
    </row>
    <row r="19" spans="1:5" s="424" customFormat="1" ht="15.75" customHeight="1" x14ac:dyDescent="0.25">
      <c r="A19" s="429"/>
      <c r="B19" s="429"/>
      <c r="C19" s="429"/>
      <c r="D19" s="429"/>
      <c r="E19" s="429"/>
    </row>
    <row r="20" spans="1:5" s="424" customFormat="1" ht="16.5" customHeight="1" x14ac:dyDescent="0.3">
      <c r="A20" s="430" t="s">
        <v>21</v>
      </c>
      <c r="B20" s="454" t="s">
        <v>22</v>
      </c>
      <c r="C20" s="455"/>
      <c r="D20" s="455"/>
      <c r="E20" s="455"/>
    </row>
    <row r="21" spans="1:5" ht="16.5" customHeight="1" x14ac:dyDescent="0.3">
      <c r="A21" s="430"/>
      <c r="B21" s="454" t="s">
        <v>23</v>
      </c>
      <c r="C21" s="455"/>
      <c r="D21" s="455"/>
      <c r="E21" s="455"/>
    </row>
    <row r="22" spans="1:5" ht="16.5" customHeight="1" x14ac:dyDescent="0.3">
      <c r="A22" s="430"/>
      <c r="B22" s="454" t="s">
        <v>24</v>
      </c>
      <c r="C22" s="455"/>
      <c r="D22" s="455"/>
      <c r="E22" s="455"/>
    </row>
    <row r="23" spans="1:5" ht="15.75" customHeight="1" x14ac:dyDescent="0.25">
      <c r="A23" s="429"/>
      <c r="B23" s="429"/>
      <c r="C23" s="429"/>
      <c r="D23" s="429"/>
      <c r="E23" s="429"/>
    </row>
    <row r="24" spans="1:5" ht="16.5" customHeight="1" x14ac:dyDescent="0.3">
      <c r="A24" s="425" t="s">
        <v>1</v>
      </c>
      <c r="B24" s="426" t="s">
        <v>25</v>
      </c>
    </row>
    <row r="25" spans="1:5" ht="16.5" customHeight="1" x14ac:dyDescent="0.3">
      <c r="A25" s="430" t="s">
        <v>4</v>
      </c>
      <c r="B25" s="427" t="s">
        <v>131</v>
      </c>
      <c r="C25" s="429"/>
      <c r="D25" s="429"/>
      <c r="E25" s="429"/>
    </row>
    <row r="26" spans="1:5" ht="16.5" customHeight="1" x14ac:dyDescent="0.3">
      <c r="A26" s="430" t="s">
        <v>6</v>
      </c>
      <c r="B26" s="431">
        <v>99.39</v>
      </c>
      <c r="C26" s="429"/>
      <c r="D26" s="429"/>
      <c r="E26" s="429"/>
    </row>
    <row r="27" spans="1:5" ht="16.5" customHeight="1" x14ac:dyDescent="0.3">
      <c r="A27" s="427" t="s">
        <v>8</v>
      </c>
      <c r="B27" s="431">
        <v>31.85</v>
      </c>
      <c r="C27" s="429"/>
      <c r="D27" s="429"/>
      <c r="E27" s="429"/>
    </row>
    <row r="28" spans="1:5" ht="16.5" customHeight="1" x14ac:dyDescent="0.3">
      <c r="A28" s="427" t="s">
        <v>10</v>
      </c>
      <c r="B28" s="432">
        <f>31.85/100</f>
        <v>0.31850000000000001</v>
      </c>
      <c r="C28" s="429"/>
      <c r="D28" s="429"/>
      <c r="E28" s="429"/>
    </row>
    <row r="29" spans="1:5" ht="15.75" customHeight="1" x14ac:dyDescent="0.25">
      <c r="A29" s="429"/>
      <c r="B29" s="429"/>
      <c r="C29" s="429"/>
      <c r="D29" s="429"/>
      <c r="E29" s="429"/>
    </row>
    <row r="30" spans="1:5" ht="16.5" customHeight="1" x14ac:dyDescent="0.3">
      <c r="A30" s="433" t="s">
        <v>13</v>
      </c>
      <c r="B30" s="434" t="s">
        <v>14</v>
      </c>
      <c r="C30" s="433" t="s">
        <v>15</v>
      </c>
      <c r="D30" s="433" t="s">
        <v>16</v>
      </c>
      <c r="E30" s="433" t="s">
        <v>17</v>
      </c>
    </row>
    <row r="31" spans="1:5" ht="16.5" customHeight="1" x14ac:dyDescent="0.3">
      <c r="A31" s="435">
        <v>1</v>
      </c>
      <c r="B31" s="436">
        <v>117904928</v>
      </c>
      <c r="C31" s="509">
        <v>6454</v>
      </c>
      <c r="D31" s="437">
        <v>1.1000000000000001</v>
      </c>
      <c r="E31" s="438">
        <v>3.1</v>
      </c>
    </row>
    <row r="32" spans="1:5" ht="16.5" customHeight="1" x14ac:dyDescent="0.3">
      <c r="A32" s="435">
        <v>2</v>
      </c>
      <c r="B32" s="436">
        <v>117430263</v>
      </c>
      <c r="C32" s="436">
        <v>6470.1</v>
      </c>
      <c r="D32" s="437">
        <v>1.1000000000000001</v>
      </c>
      <c r="E32" s="437">
        <v>3.1</v>
      </c>
    </row>
    <row r="33" spans="1:7" ht="16.5" customHeight="1" x14ac:dyDescent="0.3">
      <c r="A33" s="435">
        <v>3</v>
      </c>
      <c r="B33" s="436">
        <v>117456623</v>
      </c>
      <c r="C33" s="436">
        <v>6475.2</v>
      </c>
      <c r="D33" s="437">
        <v>1.1000000000000001</v>
      </c>
      <c r="E33" s="437">
        <v>3.1</v>
      </c>
    </row>
    <row r="34" spans="1:7" ht="16.5" customHeight="1" x14ac:dyDescent="0.3">
      <c r="A34" s="435">
        <v>4</v>
      </c>
      <c r="B34" s="436">
        <v>117330026</v>
      </c>
      <c r="C34" s="436">
        <v>6490.8</v>
      </c>
      <c r="D34" s="437">
        <v>1.1000000000000001</v>
      </c>
      <c r="E34" s="437">
        <v>3.1</v>
      </c>
    </row>
    <row r="35" spans="1:7" ht="16.5" customHeight="1" x14ac:dyDescent="0.3">
      <c r="A35" s="435">
        <v>5</v>
      </c>
      <c r="B35" s="436">
        <v>117652140</v>
      </c>
      <c r="C35" s="509">
        <v>6489</v>
      </c>
      <c r="D35" s="437">
        <v>1.1000000000000001</v>
      </c>
      <c r="E35" s="437">
        <v>3.1</v>
      </c>
    </row>
    <row r="36" spans="1:7" ht="16.5" customHeight="1" x14ac:dyDescent="0.3">
      <c r="A36" s="435">
        <v>6</v>
      </c>
      <c r="B36" s="439">
        <v>117632031</v>
      </c>
      <c r="C36" s="439">
        <v>6475.8</v>
      </c>
      <c r="D36" s="440">
        <v>1.1000000000000001</v>
      </c>
      <c r="E36" s="440">
        <v>3.1</v>
      </c>
    </row>
    <row r="37" spans="1:7" ht="16.5" customHeight="1" x14ac:dyDescent="0.3">
      <c r="A37" s="441" t="s">
        <v>18</v>
      </c>
      <c r="B37" s="442">
        <f>AVERAGE(B31:B36)</f>
        <v>117567668.5</v>
      </c>
      <c r="C37" s="443">
        <f>AVERAGE(C31:C36)</f>
        <v>6475.8166666666666</v>
      </c>
      <c r="D37" s="444">
        <f>AVERAGE(D31:D36)</f>
        <v>1.0999999999999999</v>
      </c>
      <c r="E37" s="444">
        <f>AVERAGE(E31:E36)</f>
        <v>3.1</v>
      </c>
    </row>
    <row r="38" spans="1:7" ht="16.5" customHeight="1" x14ac:dyDescent="0.3">
      <c r="A38" s="445" t="s">
        <v>19</v>
      </c>
      <c r="B38" s="446">
        <f>(STDEV(B31:B36)/B37)</f>
        <v>1.7543581439808337E-3</v>
      </c>
      <c r="C38" s="447"/>
      <c r="D38" s="447"/>
      <c r="E38" s="448"/>
    </row>
    <row r="39" spans="1:7" s="424" customFormat="1" ht="16.5" customHeight="1" x14ac:dyDescent="0.3">
      <c r="A39" s="449" t="s">
        <v>20</v>
      </c>
      <c r="B39" s="450">
        <f>COUNT(B31:B36)</f>
        <v>6</v>
      </c>
      <c r="C39" s="451"/>
      <c r="D39" s="452"/>
      <c r="E39" s="453"/>
    </row>
    <row r="40" spans="1:7" s="424" customFormat="1" ht="15.75" customHeight="1" x14ac:dyDescent="0.25">
      <c r="A40" s="429"/>
      <c r="B40" s="429"/>
      <c r="C40" s="429"/>
      <c r="D40" s="429"/>
      <c r="E40" s="429"/>
    </row>
    <row r="41" spans="1:7" s="424" customFormat="1" ht="16.5" customHeight="1" x14ac:dyDescent="0.3">
      <c r="A41" s="430" t="s">
        <v>21</v>
      </c>
      <c r="B41" s="454" t="s">
        <v>22</v>
      </c>
      <c r="C41" s="455"/>
      <c r="D41" s="455"/>
      <c r="E41" s="455"/>
    </row>
    <row r="42" spans="1:7" ht="16.5" customHeight="1" x14ac:dyDescent="0.3">
      <c r="A42" s="430"/>
      <c r="B42" s="454" t="s">
        <v>23</v>
      </c>
      <c r="C42" s="455"/>
      <c r="D42" s="455"/>
      <c r="E42" s="455"/>
    </row>
    <row r="43" spans="1:7" ht="16.5" customHeight="1" x14ac:dyDescent="0.3">
      <c r="A43" s="430"/>
      <c r="B43" s="454" t="s">
        <v>24</v>
      </c>
      <c r="C43" s="455"/>
      <c r="D43" s="455"/>
      <c r="E43" s="455"/>
    </row>
    <row r="44" spans="1:7" ht="14.25" customHeight="1" thickBot="1" x14ac:dyDescent="0.3">
      <c r="A44" s="456"/>
      <c r="B44" s="457"/>
      <c r="D44" s="458"/>
      <c r="F44" s="459"/>
      <c r="G44" s="459"/>
    </row>
    <row r="45" spans="1:7" ht="15" customHeight="1" x14ac:dyDescent="0.3">
      <c r="B45" s="511" t="s">
        <v>26</v>
      </c>
      <c r="C45" s="511"/>
      <c r="E45" s="507" t="s">
        <v>27</v>
      </c>
      <c r="F45" s="460"/>
      <c r="G45" s="507" t="s">
        <v>28</v>
      </c>
    </row>
    <row r="46" spans="1:7" ht="15" customHeight="1" x14ac:dyDescent="0.3">
      <c r="A46" s="461" t="s">
        <v>29</v>
      </c>
      <c r="B46" s="462" t="s">
        <v>138</v>
      </c>
      <c r="C46" s="462"/>
      <c r="E46" s="462" t="s">
        <v>139</v>
      </c>
      <c r="G46" s="462"/>
    </row>
    <row r="47" spans="1:7" ht="15" customHeight="1" x14ac:dyDescent="0.3">
      <c r="A47" s="461" t="s">
        <v>30</v>
      </c>
      <c r="B47" s="463"/>
      <c r="C47" s="463"/>
      <c r="E47" s="463"/>
      <c r="G47" s="464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4" workbookViewId="0">
      <selection activeCell="B48" sqref="B48"/>
    </sheetView>
  </sheetViews>
  <sheetFormatPr defaultRowHeight="13.5" x14ac:dyDescent="0.25"/>
  <cols>
    <col min="1" max="1" width="27.5703125" style="465" customWidth="1"/>
    <col min="2" max="2" width="20.42578125" style="465" customWidth="1"/>
    <col min="3" max="3" width="31.85546875" style="465" customWidth="1"/>
    <col min="4" max="4" width="25.85546875" style="465" customWidth="1"/>
    <col min="5" max="5" width="25.7109375" style="465" customWidth="1"/>
    <col min="6" max="6" width="23.140625" style="465" customWidth="1"/>
    <col min="7" max="7" width="28.42578125" style="465" customWidth="1"/>
    <col min="8" max="8" width="21.5703125" style="465" customWidth="1"/>
    <col min="9" max="9" width="9.140625" style="465" customWidth="1"/>
    <col min="10" max="16384" width="9.140625" style="466"/>
  </cols>
  <sheetData>
    <row r="1" spans="1:10" ht="18.75" customHeight="1" x14ac:dyDescent="0.3">
      <c r="A1" s="512" t="s">
        <v>0</v>
      </c>
      <c r="B1" s="512"/>
      <c r="C1" s="512"/>
      <c r="D1" s="512"/>
      <c r="E1" s="512"/>
    </row>
    <row r="2" spans="1:10" ht="16.5" customHeight="1" x14ac:dyDescent="0.3">
      <c r="A2" s="467" t="s">
        <v>1</v>
      </c>
      <c r="B2" s="468" t="s">
        <v>2</v>
      </c>
    </row>
    <row r="3" spans="1:10" ht="16.5" customHeight="1" x14ac:dyDescent="0.3">
      <c r="A3" s="469" t="s">
        <v>3</v>
      </c>
      <c r="B3" s="469" t="s">
        <v>134</v>
      </c>
      <c r="D3" s="470"/>
      <c r="E3" s="471"/>
    </row>
    <row r="4" spans="1:10" ht="16.5" customHeight="1" x14ac:dyDescent="0.3">
      <c r="A4" s="472" t="s">
        <v>4</v>
      </c>
      <c r="B4" s="469" t="s">
        <v>132</v>
      </c>
      <c r="C4" s="471"/>
      <c r="D4" s="471"/>
      <c r="E4" s="471"/>
    </row>
    <row r="5" spans="1:10" ht="16.5" customHeight="1" x14ac:dyDescent="0.3">
      <c r="A5" s="472" t="s">
        <v>6</v>
      </c>
      <c r="B5" s="473">
        <f>[1]Zidovudine!B28</f>
        <v>99</v>
      </c>
      <c r="C5" s="471"/>
      <c r="D5" s="471"/>
      <c r="E5" s="471"/>
    </row>
    <row r="6" spans="1:10" ht="16.5" customHeight="1" x14ac:dyDescent="0.3">
      <c r="A6" s="469" t="s">
        <v>8</v>
      </c>
      <c r="B6" s="473">
        <f>[1]Zidovudine!D43</f>
        <v>28.1</v>
      </c>
      <c r="C6" s="471"/>
      <c r="D6" s="471"/>
      <c r="E6" s="471"/>
    </row>
    <row r="7" spans="1:10" ht="16.5" customHeight="1" x14ac:dyDescent="0.3">
      <c r="A7" s="469" t="s">
        <v>10</v>
      </c>
      <c r="B7" s="474">
        <f>B6/100</f>
        <v>0.28100000000000003</v>
      </c>
      <c r="C7" s="471"/>
      <c r="D7" s="471"/>
      <c r="E7" s="471"/>
    </row>
    <row r="8" spans="1:10" ht="15.75" customHeight="1" x14ac:dyDescent="0.25">
      <c r="A8" s="471"/>
      <c r="B8" s="471"/>
      <c r="C8" s="471"/>
      <c r="D8" s="471"/>
      <c r="E8" s="471"/>
    </row>
    <row r="9" spans="1:10" ht="16.5" customHeight="1" x14ac:dyDescent="0.3">
      <c r="A9" s="475" t="s">
        <v>13</v>
      </c>
      <c r="B9" s="476" t="s">
        <v>14</v>
      </c>
      <c r="C9" s="475" t="s">
        <v>15</v>
      </c>
      <c r="D9" s="475" t="s">
        <v>16</v>
      </c>
      <c r="E9" s="477" t="s">
        <v>17</v>
      </c>
      <c r="F9" s="477" t="s">
        <v>135</v>
      </c>
      <c r="J9" s="465"/>
    </row>
    <row r="10" spans="1:10" ht="16.5" customHeight="1" x14ac:dyDescent="0.3">
      <c r="A10" s="478">
        <v>1</v>
      </c>
      <c r="B10" s="479">
        <v>49705639</v>
      </c>
      <c r="C10" s="479">
        <v>6569.71</v>
      </c>
      <c r="D10" s="480">
        <v>1.1100000000000001</v>
      </c>
      <c r="E10" s="481">
        <v>3.72</v>
      </c>
      <c r="F10" s="481">
        <v>5.27</v>
      </c>
      <c r="J10" s="465"/>
    </row>
    <row r="11" spans="1:10" ht="16.5" customHeight="1" x14ac:dyDescent="0.3">
      <c r="A11" s="478">
        <v>2</v>
      </c>
      <c r="B11" s="479">
        <v>49650466</v>
      </c>
      <c r="C11" s="479">
        <v>6568.8</v>
      </c>
      <c r="D11" s="480">
        <v>1.1200000000000001</v>
      </c>
      <c r="E11" s="480">
        <v>3.72</v>
      </c>
      <c r="F11" s="480">
        <v>5.26</v>
      </c>
      <c r="J11" s="465"/>
    </row>
    <row r="12" spans="1:10" ht="16.5" customHeight="1" x14ac:dyDescent="0.3">
      <c r="A12" s="478">
        <v>3</v>
      </c>
      <c r="B12" s="479">
        <v>49879574</v>
      </c>
      <c r="C12" s="479">
        <v>6562.82</v>
      </c>
      <c r="D12" s="480">
        <v>1.1299999999999999</v>
      </c>
      <c r="E12" s="480">
        <v>3.72</v>
      </c>
      <c r="F12" s="480">
        <v>5.26</v>
      </c>
      <c r="J12" s="465"/>
    </row>
    <row r="13" spans="1:10" ht="16.5" customHeight="1" x14ac:dyDescent="0.3">
      <c r="A13" s="478">
        <v>4</v>
      </c>
      <c r="B13" s="479">
        <v>49613766</v>
      </c>
      <c r="C13" s="479">
        <v>6570.43</v>
      </c>
      <c r="D13" s="480">
        <v>1.1200000000000001</v>
      </c>
      <c r="E13" s="480">
        <v>3.72</v>
      </c>
      <c r="F13" s="480">
        <v>5.26</v>
      </c>
      <c r="J13" s="465"/>
    </row>
    <row r="14" spans="1:10" ht="16.5" customHeight="1" x14ac:dyDescent="0.3">
      <c r="A14" s="478">
        <v>5</v>
      </c>
      <c r="B14" s="479">
        <v>49802921</v>
      </c>
      <c r="C14" s="479">
        <v>6584.57</v>
      </c>
      <c r="D14" s="480">
        <v>1.0900000000000001</v>
      </c>
      <c r="E14" s="480">
        <v>3.73</v>
      </c>
      <c r="F14" s="480">
        <v>5.28</v>
      </c>
      <c r="J14" s="465"/>
    </row>
    <row r="15" spans="1:10" ht="16.5" customHeight="1" x14ac:dyDescent="0.3">
      <c r="A15" s="478">
        <v>6</v>
      </c>
      <c r="B15" s="482">
        <v>49931197</v>
      </c>
      <c r="C15" s="482">
        <v>6578.47</v>
      </c>
      <c r="D15" s="483">
        <v>1.0900000000000001</v>
      </c>
      <c r="E15" s="483">
        <v>3.73</v>
      </c>
      <c r="F15" s="483">
        <v>5.28</v>
      </c>
      <c r="J15" s="465"/>
    </row>
    <row r="16" spans="1:10" ht="16.5" customHeight="1" x14ac:dyDescent="0.3">
      <c r="A16" s="484" t="s">
        <v>18</v>
      </c>
      <c r="B16" s="485">
        <f>AVERAGE(B10:B15)</f>
        <v>49763927.166666664</v>
      </c>
      <c r="C16" s="486">
        <f>AVERAGE(C10:C15)</f>
        <v>6572.4666666666672</v>
      </c>
      <c r="D16" s="487">
        <f>AVERAGE(D10:D15)</f>
        <v>1.1100000000000001</v>
      </c>
      <c r="E16" s="487">
        <f>AVERAGE(E10:E15)</f>
        <v>3.7233333333333332</v>
      </c>
      <c r="F16" s="487">
        <f>AVERAGE(F10:F15)</f>
        <v>5.2683333333333335</v>
      </c>
      <c r="J16" s="465"/>
    </row>
    <row r="17" spans="1:10" ht="16.5" customHeight="1" x14ac:dyDescent="0.3">
      <c r="A17" s="488" t="s">
        <v>19</v>
      </c>
      <c r="B17" s="489">
        <f>(STDEV(B10:B15)/B16)</f>
        <v>2.568581693665107E-3</v>
      </c>
      <c r="C17" s="490"/>
      <c r="D17" s="490"/>
      <c r="E17" s="490"/>
      <c r="F17" s="491"/>
      <c r="J17" s="465"/>
    </row>
    <row r="18" spans="1:10" s="465" customFormat="1" ht="16.5" customHeight="1" x14ac:dyDescent="0.3">
      <c r="A18" s="492" t="s">
        <v>20</v>
      </c>
      <c r="B18" s="493">
        <f>COUNT(B10:B15)</f>
        <v>6</v>
      </c>
      <c r="C18" s="494"/>
      <c r="D18" s="495"/>
      <c r="E18" s="495"/>
      <c r="F18" s="496"/>
    </row>
    <row r="19" spans="1:10" s="465" customFormat="1" ht="15.75" customHeight="1" x14ac:dyDescent="0.25">
      <c r="A19" s="471"/>
      <c r="B19" s="471"/>
      <c r="C19" s="471"/>
      <c r="D19" s="471"/>
      <c r="E19" s="471"/>
    </row>
    <row r="20" spans="1:10" s="465" customFormat="1" ht="16.5" customHeight="1" x14ac:dyDescent="0.3">
      <c r="A20" s="472" t="s">
        <v>21</v>
      </c>
      <c r="B20" s="497" t="s">
        <v>22</v>
      </c>
      <c r="C20" s="498"/>
      <c r="D20" s="498"/>
      <c r="E20" s="498"/>
    </row>
    <row r="21" spans="1:10" ht="16.5" customHeight="1" x14ac:dyDescent="0.3">
      <c r="A21" s="472"/>
      <c r="B21" s="497" t="s">
        <v>23</v>
      </c>
      <c r="C21" s="498"/>
      <c r="D21" s="498"/>
      <c r="E21" s="498"/>
    </row>
    <row r="22" spans="1:10" ht="16.5" customHeight="1" x14ac:dyDescent="0.3">
      <c r="A22" s="472"/>
      <c r="B22" s="497" t="s">
        <v>24</v>
      </c>
      <c r="C22" s="498"/>
      <c r="D22" s="498"/>
      <c r="E22" s="498"/>
    </row>
    <row r="23" spans="1:10" s="465" customFormat="1" ht="15.75" customHeight="1" x14ac:dyDescent="0.3">
      <c r="A23" s="471"/>
      <c r="B23" s="499" t="s">
        <v>136</v>
      </c>
      <c r="C23" s="471"/>
      <c r="D23" s="471"/>
      <c r="E23" s="471"/>
      <c r="J23" s="466"/>
    </row>
    <row r="24" spans="1:10" s="465" customFormat="1" ht="15.75" customHeight="1" x14ac:dyDescent="0.25">
      <c r="A24" s="471"/>
      <c r="B24" s="471"/>
      <c r="C24" s="471"/>
      <c r="D24" s="471"/>
      <c r="E24" s="471"/>
      <c r="J24" s="466"/>
    </row>
    <row r="25" spans="1:10" s="465" customFormat="1" ht="16.5" customHeight="1" x14ac:dyDescent="0.3">
      <c r="A25" s="467" t="s">
        <v>1</v>
      </c>
      <c r="B25" s="468" t="s">
        <v>25</v>
      </c>
      <c r="J25" s="466"/>
    </row>
    <row r="26" spans="1:10" s="465" customFormat="1" ht="16.5" customHeight="1" x14ac:dyDescent="0.3">
      <c r="A26" s="472" t="s">
        <v>4</v>
      </c>
      <c r="B26" s="469" t="s">
        <v>132</v>
      </c>
      <c r="C26" s="471"/>
      <c r="D26" s="471"/>
      <c r="E26" s="471"/>
      <c r="J26" s="466"/>
    </row>
    <row r="27" spans="1:10" s="465" customFormat="1" ht="16.5" customHeight="1" x14ac:dyDescent="0.3">
      <c r="A27" s="472" t="s">
        <v>6</v>
      </c>
      <c r="B27" s="473">
        <v>99</v>
      </c>
      <c r="C27" s="471"/>
      <c r="D27" s="471"/>
      <c r="E27" s="471"/>
      <c r="J27" s="466"/>
    </row>
    <row r="28" spans="1:10" s="465" customFormat="1" ht="16.5" customHeight="1" x14ac:dyDescent="0.3">
      <c r="A28" s="469" t="s">
        <v>8</v>
      </c>
      <c r="B28" s="473">
        <v>29.76</v>
      </c>
      <c r="C28" s="471"/>
      <c r="D28" s="471"/>
      <c r="E28" s="471"/>
      <c r="J28" s="466"/>
    </row>
    <row r="29" spans="1:10" s="465" customFormat="1" ht="16.5" customHeight="1" x14ac:dyDescent="0.3">
      <c r="A29" s="469" t="s">
        <v>10</v>
      </c>
      <c r="B29" s="474">
        <f>29.76/100</f>
        <v>0.29760000000000003</v>
      </c>
      <c r="C29" s="471"/>
      <c r="D29" s="471"/>
      <c r="E29" s="471"/>
      <c r="J29" s="466"/>
    </row>
    <row r="30" spans="1:10" s="465" customFormat="1" ht="15.75" customHeight="1" x14ac:dyDescent="0.25">
      <c r="A30" s="471"/>
      <c r="B30" s="471"/>
      <c r="C30" s="471"/>
      <c r="D30" s="471"/>
      <c r="E30" s="471"/>
      <c r="J30" s="466"/>
    </row>
    <row r="31" spans="1:10" s="465" customFormat="1" ht="16.5" customHeight="1" x14ac:dyDescent="0.3">
      <c r="A31" s="475" t="s">
        <v>13</v>
      </c>
      <c r="B31" s="476" t="s">
        <v>14</v>
      </c>
      <c r="C31" s="475" t="s">
        <v>15</v>
      </c>
      <c r="D31" s="475" t="s">
        <v>16</v>
      </c>
      <c r="E31" s="475" t="s">
        <v>17</v>
      </c>
      <c r="F31" s="475" t="s">
        <v>140</v>
      </c>
      <c r="J31" s="466"/>
    </row>
    <row r="32" spans="1:10" s="465" customFormat="1" ht="16.5" customHeight="1" x14ac:dyDescent="0.3">
      <c r="A32" s="478">
        <v>1</v>
      </c>
      <c r="B32" s="479">
        <v>93717691</v>
      </c>
      <c r="C32" s="479">
        <v>6969.3</v>
      </c>
      <c r="D32" s="480">
        <v>1.1000000000000001</v>
      </c>
      <c r="E32" s="481">
        <v>4.5999999999999996</v>
      </c>
      <c r="F32" s="481">
        <v>8.1999999999999993</v>
      </c>
      <c r="J32" s="466"/>
    </row>
    <row r="33" spans="1:10" s="465" customFormat="1" ht="16.5" customHeight="1" x14ac:dyDescent="0.3">
      <c r="A33" s="478">
        <v>2</v>
      </c>
      <c r="B33" s="479">
        <v>93372122</v>
      </c>
      <c r="C33" s="479">
        <v>6949.5</v>
      </c>
      <c r="D33" s="480">
        <v>1.1000000000000001</v>
      </c>
      <c r="E33" s="480">
        <v>4.5999999999999996</v>
      </c>
      <c r="F33" s="480">
        <v>8.1999999999999993</v>
      </c>
      <c r="J33" s="466"/>
    </row>
    <row r="34" spans="1:10" s="465" customFormat="1" ht="16.5" customHeight="1" x14ac:dyDescent="0.3">
      <c r="A34" s="478">
        <v>3</v>
      </c>
      <c r="B34" s="479">
        <v>93381491</v>
      </c>
      <c r="C34" s="479">
        <v>6961.3</v>
      </c>
      <c r="D34" s="480">
        <v>1.1000000000000001</v>
      </c>
      <c r="E34" s="480">
        <v>4.5999999999999996</v>
      </c>
      <c r="F34" s="480">
        <v>8.1999999999999993</v>
      </c>
      <c r="J34" s="466"/>
    </row>
    <row r="35" spans="1:10" s="465" customFormat="1" ht="16.5" customHeight="1" x14ac:dyDescent="0.3">
      <c r="A35" s="478">
        <v>4</v>
      </c>
      <c r="B35" s="479">
        <v>93338067</v>
      </c>
      <c r="C35" s="479">
        <v>6979.9</v>
      </c>
      <c r="D35" s="480">
        <v>1.1000000000000001</v>
      </c>
      <c r="E35" s="480">
        <v>4.5999999999999996</v>
      </c>
      <c r="F35" s="480">
        <v>8.1999999999999993</v>
      </c>
      <c r="J35" s="466"/>
    </row>
    <row r="36" spans="1:10" s="465" customFormat="1" ht="16.5" customHeight="1" x14ac:dyDescent="0.3">
      <c r="A36" s="478">
        <v>5</v>
      </c>
      <c r="B36" s="479">
        <v>93532701</v>
      </c>
      <c r="C36" s="479">
        <v>6990.7</v>
      </c>
      <c r="D36" s="480">
        <v>1.1000000000000001</v>
      </c>
      <c r="E36" s="480">
        <v>4.5999999999999996</v>
      </c>
      <c r="F36" s="480">
        <v>8.1999999999999993</v>
      </c>
      <c r="J36" s="466"/>
    </row>
    <row r="37" spans="1:10" s="465" customFormat="1" ht="16.5" customHeight="1" x14ac:dyDescent="0.3">
      <c r="A37" s="478">
        <v>6</v>
      </c>
      <c r="B37" s="482">
        <v>93566264</v>
      </c>
      <c r="C37" s="482">
        <v>6972.6</v>
      </c>
      <c r="D37" s="483">
        <v>1.1000000000000001</v>
      </c>
      <c r="E37" s="483">
        <v>4.5999999999999996</v>
      </c>
      <c r="F37" s="483">
        <v>8.1999999999999993</v>
      </c>
      <c r="J37" s="466"/>
    </row>
    <row r="38" spans="1:10" s="465" customFormat="1" ht="16.5" customHeight="1" x14ac:dyDescent="0.3">
      <c r="A38" s="484" t="s">
        <v>18</v>
      </c>
      <c r="B38" s="485">
        <f>AVERAGE(B32:B37)</f>
        <v>93484722.666666672</v>
      </c>
      <c r="C38" s="486">
        <f>AVERAGE(C32:C37)</f>
        <v>6970.5499999999993</v>
      </c>
      <c r="D38" s="487">
        <f>AVERAGE(D32:D37)</f>
        <v>1.0999999999999999</v>
      </c>
      <c r="E38" s="487">
        <f>AVERAGE(E32:E37)</f>
        <v>4.6000000000000005</v>
      </c>
      <c r="F38" s="487">
        <f>AVERAGE(F32:F37)</f>
        <v>8.2000000000000011</v>
      </c>
      <c r="J38" s="466"/>
    </row>
    <row r="39" spans="1:10" s="465" customFormat="1" ht="16.5" customHeight="1" x14ac:dyDescent="0.3">
      <c r="A39" s="488" t="s">
        <v>19</v>
      </c>
      <c r="B39" s="489">
        <f>(STDEV(B32:B37)/B38)</f>
        <v>1.5726220793075328E-3</v>
      </c>
      <c r="C39" s="490"/>
      <c r="D39" s="490"/>
      <c r="E39" s="491"/>
      <c r="F39" s="491"/>
      <c r="J39" s="466"/>
    </row>
    <row r="40" spans="1:10" s="465" customFormat="1" ht="16.5" customHeight="1" x14ac:dyDescent="0.3">
      <c r="A40" s="492" t="s">
        <v>20</v>
      </c>
      <c r="B40" s="493">
        <f>COUNT(B32:B37)</f>
        <v>6</v>
      </c>
      <c r="C40" s="494"/>
      <c r="D40" s="495"/>
      <c r="E40" s="496"/>
      <c r="F40" s="496"/>
    </row>
    <row r="41" spans="1:10" s="465" customFormat="1" ht="15.75" customHeight="1" x14ac:dyDescent="0.25">
      <c r="A41" s="471"/>
      <c r="B41" s="471"/>
      <c r="C41" s="471"/>
      <c r="D41" s="471"/>
      <c r="E41" s="471"/>
    </row>
    <row r="42" spans="1:10" s="465" customFormat="1" ht="16.5" customHeight="1" x14ac:dyDescent="0.3">
      <c r="A42" s="472" t="s">
        <v>21</v>
      </c>
      <c r="B42" s="497" t="s">
        <v>22</v>
      </c>
      <c r="C42" s="498"/>
      <c r="D42" s="498"/>
      <c r="E42" s="498"/>
    </row>
    <row r="43" spans="1:10" s="465" customFormat="1" ht="16.5" customHeight="1" x14ac:dyDescent="0.3">
      <c r="A43" s="472"/>
      <c r="B43" s="497" t="s">
        <v>23</v>
      </c>
      <c r="C43" s="498"/>
      <c r="D43" s="498"/>
      <c r="E43" s="498"/>
      <c r="J43" s="466"/>
    </row>
    <row r="44" spans="1:10" s="465" customFormat="1" ht="16.5" customHeight="1" x14ac:dyDescent="0.3">
      <c r="A44" s="472"/>
      <c r="B44" s="497" t="s">
        <v>24</v>
      </c>
      <c r="C44" s="498"/>
      <c r="D44" s="498"/>
      <c r="E44" s="498"/>
      <c r="J44" s="466"/>
    </row>
    <row r="45" spans="1:10" s="465" customFormat="1" ht="14.25" customHeight="1" thickBot="1" x14ac:dyDescent="0.35">
      <c r="A45" s="500"/>
      <c r="B45" s="499" t="s">
        <v>141</v>
      </c>
      <c r="D45" s="501"/>
      <c r="F45" s="466"/>
      <c r="G45" s="466"/>
      <c r="J45" s="466"/>
    </row>
    <row r="46" spans="1:10" s="465" customFormat="1" ht="15" customHeight="1" x14ac:dyDescent="0.3">
      <c r="B46" s="513" t="s">
        <v>26</v>
      </c>
      <c r="C46" s="513"/>
      <c r="E46" s="508" t="s">
        <v>27</v>
      </c>
      <c r="F46" s="502"/>
      <c r="G46" s="508" t="s">
        <v>28</v>
      </c>
      <c r="J46" s="466"/>
    </row>
    <row r="47" spans="1:10" s="465" customFormat="1" ht="15" customHeight="1" x14ac:dyDescent="0.3">
      <c r="A47" s="503" t="s">
        <v>29</v>
      </c>
      <c r="B47" s="504" t="s">
        <v>138</v>
      </c>
      <c r="C47" s="504"/>
      <c r="E47" s="504" t="s">
        <v>139</v>
      </c>
      <c r="G47" s="504"/>
      <c r="J47" s="466"/>
    </row>
    <row r="48" spans="1:10" s="465" customFormat="1" ht="15" customHeight="1" x14ac:dyDescent="0.3">
      <c r="A48" s="503" t="s">
        <v>30</v>
      </c>
      <c r="B48" s="505"/>
      <c r="C48" s="505"/>
      <c r="E48" s="505"/>
      <c r="G48" s="506"/>
      <c r="J48" s="466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6:C4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12" workbookViewId="0">
      <selection activeCell="C53" sqref="C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7" t="s">
        <v>31</v>
      </c>
      <c r="B11" s="518"/>
      <c r="C11" s="518"/>
      <c r="D11" s="518"/>
      <c r="E11" s="518"/>
      <c r="F11" s="519"/>
      <c r="G11" s="43"/>
    </row>
    <row r="12" spans="1:7" ht="16.5" customHeight="1" x14ac:dyDescent="0.3">
      <c r="A12" s="516" t="s">
        <v>32</v>
      </c>
      <c r="B12" s="516"/>
      <c r="C12" s="516"/>
      <c r="D12" s="516"/>
      <c r="E12" s="516"/>
      <c r="F12" s="516"/>
      <c r="G12" s="42"/>
    </row>
    <row r="14" spans="1:7" ht="16.5" customHeight="1" x14ac:dyDescent="0.3">
      <c r="A14" s="521" t="s">
        <v>33</v>
      </c>
      <c r="B14" s="521"/>
      <c r="C14" s="12" t="s">
        <v>5</v>
      </c>
    </row>
    <row r="15" spans="1:7" ht="16.5" customHeight="1" x14ac:dyDescent="0.3">
      <c r="A15" s="521" t="s">
        <v>34</v>
      </c>
      <c r="B15" s="521"/>
      <c r="C15" s="12" t="s">
        <v>7</v>
      </c>
    </row>
    <row r="16" spans="1:7" ht="16.5" customHeight="1" x14ac:dyDescent="0.3">
      <c r="A16" s="521" t="s">
        <v>35</v>
      </c>
      <c r="B16" s="521"/>
      <c r="C16" s="12" t="s">
        <v>9</v>
      </c>
    </row>
    <row r="17" spans="1:5" ht="16.5" customHeight="1" x14ac:dyDescent="0.3">
      <c r="A17" s="521" t="s">
        <v>36</v>
      </c>
      <c r="B17" s="521"/>
      <c r="C17" s="12" t="s">
        <v>11</v>
      </c>
    </row>
    <row r="18" spans="1:5" ht="16.5" customHeight="1" x14ac:dyDescent="0.3">
      <c r="A18" s="521" t="s">
        <v>37</v>
      </c>
      <c r="B18" s="521"/>
      <c r="C18" s="49" t="s">
        <v>12</v>
      </c>
    </row>
    <row r="19" spans="1:5" ht="16.5" customHeight="1" x14ac:dyDescent="0.3">
      <c r="A19" s="521" t="s">
        <v>38</v>
      </c>
      <c r="B19" s="52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16" t="s">
        <v>1</v>
      </c>
      <c r="B21" s="516"/>
      <c r="C21" s="11" t="s">
        <v>39</v>
      </c>
      <c r="D21" s="18"/>
    </row>
    <row r="22" spans="1:5" ht="15.75" customHeight="1" x14ac:dyDescent="0.3">
      <c r="A22" s="520"/>
      <c r="B22" s="520"/>
      <c r="C22" s="9"/>
      <c r="D22" s="520"/>
      <c r="E22" s="52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762.32</v>
      </c>
      <c r="D24" s="39">
        <f t="shared" ref="D24:D43" si="0">(C24-$C$46)/$C$46</f>
        <v>5.7948872425198908E-4</v>
      </c>
      <c r="E24" s="5"/>
    </row>
    <row r="25" spans="1:5" ht="15.75" customHeight="1" x14ac:dyDescent="0.3">
      <c r="C25" s="47">
        <v>756.72</v>
      </c>
      <c r="D25" s="40">
        <f t="shared" si="0"/>
        <v>-6.7707646297933376E-3</v>
      </c>
      <c r="E25" s="5"/>
    </row>
    <row r="26" spans="1:5" ht="15.75" customHeight="1" x14ac:dyDescent="0.3">
      <c r="C26" s="47">
        <v>768.54</v>
      </c>
      <c r="D26" s="40">
        <f t="shared" si="0"/>
        <v>8.7435201282093297E-3</v>
      </c>
      <c r="E26" s="5"/>
    </row>
    <row r="27" spans="1:5" ht="15.75" customHeight="1" x14ac:dyDescent="0.3">
      <c r="C27" s="47">
        <v>756.71</v>
      </c>
      <c r="D27" s="40">
        <f t="shared" si="0"/>
        <v>-6.7838900822112637E-3</v>
      </c>
      <c r="E27" s="5"/>
    </row>
    <row r="28" spans="1:5" ht="15.75" customHeight="1" x14ac:dyDescent="0.3">
      <c r="C28" s="47">
        <v>760.87</v>
      </c>
      <c r="D28" s="40">
        <f t="shared" si="0"/>
        <v>-1.3237018763490849E-3</v>
      </c>
      <c r="E28" s="5"/>
    </row>
    <row r="29" spans="1:5" ht="15.75" customHeight="1" x14ac:dyDescent="0.3">
      <c r="C29" s="47">
        <v>759.73</v>
      </c>
      <c r="D29" s="40">
        <f t="shared" si="0"/>
        <v>-2.8200034519940023E-3</v>
      </c>
      <c r="E29" s="5"/>
    </row>
    <row r="30" spans="1:5" ht="15.75" customHeight="1" x14ac:dyDescent="0.3">
      <c r="C30" s="47">
        <v>754.52</v>
      </c>
      <c r="D30" s="40">
        <f t="shared" si="0"/>
        <v>-9.6583641617397648E-3</v>
      </c>
      <c r="E30" s="5"/>
    </row>
    <row r="31" spans="1:5" ht="15.75" customHeight="1" x14ac:dyDescent="0.3">
      <c r="C31" s="47">
        <v>759.69</v>
      </c>
      <c r="D31" s="40">
        <f t="shared" si="0"/>
        <v>-2.8725052616657069E-3</v>
      </c>
      <c r="E31" s="5"/>
    </row>
    <row r="32" spans="1:5" ht="15.75" customHeight="1" x14ac:dyDescent="0.3">
      <c r="C32" s="47">
        <v>771.91</v>
      </c>
      <c r="D32" s="40">
        <f t="shared" si="0"/>
        <v>1.3166797593054452E-2</v>
      </c>
      <c r="E32" s="5"/>
    </row>
    <row r="33" spans="1:7" ht="15.75" customHeight="1" x14ac:dyDescent="0.3">
      <c r="C33" s="47">
        <v>763.62</v>
      </c>
      <c r="D33" s="40">
        <f t="shared" si="0"/>
        <v>2.2857975385838732E-3</v>
      </c>
      <c r="E33" s="5"/>
    </row>
    <row r="34" spans="1:7" ht="15.75" customHeight="1" x14ac:dyDescent="0.3">
      <c r="C34" s="47">
        <v>749.62</v>
      </c>
      <c r="D34" s="40">
        <f t="shared" si="0"/>
        <v>-1.6089835846529368E-2</v>
      </c>
      <c r="E34" s="5"/>
    </row>
    <row r="35" spans="1:7" ht="15.75" customHeight="1" x14ac:dyDescent="0.3">
      <c r="C35" s="47">
        <v>760.23</v>
      </c>
      <c r="D35" s="40">
        <f t="shared" si="0"/>
        <v>-2.1637308310971009E-3</v>
      </c>
      <c r="E35" s="5"/>
    </row>
    <row r="36" spans="1:7" ht="15.75" customHeight="1" x14ac:dyDescent="0.3">
      <c r="C36" s="47">
        <v>764.41</v>
      </c>
      <c r="D36" s="40">
        <f t="shared" si="0"/>
        <v>3.3227082796009298E-3</v>
      </c>
      <c r="E36" s="5"/>
    </row>
    <row r="37" spans="1:7" ht="15.75" customHeight="1" x14ac:dyDescent="0.3">
      <c r="C37" s="47">
        <v>759.55</v>
      </c>
      <c r="D37" s="40">
        <f t="shared" si="0"/>
        <v>-3.0562615955169706E-3</v>
      </c>
      <c r="E37" s="5"/>
    </row>
    <row r="38" spans="1:7" ht="15.75" customHeight="1" x14ac:dyDescent="0.3">
      <c r="C38" s="47">
        <v>760.9</v>
      </c>
      <c r="D38" s="40">
        <f t="shared" si="0"/>
        <v>-1.2843255190953067E-3</v>
      </c>
      <c r="E38" s="5"/>
    </row>
    <row r="39" spans="1:7" ht="15.75" customHeight="1" x14ac:dyDescent="0.3">
      <c r="C39" s="47">
        <v>759.96</v>
      </c>
      <c r="D39" s="40">
        <f t="shared" si="0"/>
        <v>-2.5181180463814041E-3</v>
      </c>
      <c r="E39" s="5"/>
    </row>
    <row r="40" spans="1:7" ht="15.75" customHeight="1" x14ac:dyDescent="0.3">
      <c r="C40" s="47">
        <v>759.09</v>
      </c>
      <c r="D40" s="40">
        <f t="shared" si="0"/>
        <v>-3.6600324067420187E-3</v>
      </c>
      <c r="E40" s="5"/>
    </row>
    <row r="41" spans="1:7" ht="15.75" customHeight="1" x14ac:dyDescent="0.3">
      <c r="C41" s="47">
        <v>771.51</v>
      </c>
      <c r="D41" s="40">
        <f t="shared" si="0"/>
        <v>1.2641779496336962E-2</v>
      </c>
      <c r="E41" s="5"/>
    </row>
    <row r="42" spans="1:7" ht="15.75" customHeight="1" x14ac:dyDescent="0.3">
      <c r="C42" s="47">
        <v>769.07</v>
      </c>
      <c r="D42" s="40">
        <f t="shared" si="0"/>
        <v>9.4391691063601593E-3</v>
      </c>
      <c r="E42" s="5"/>
    </row>
    <row r="43" spans="1:7" ht="16.5" customHeight="1" x14ac:dyDescent="0.3">
      <c r="C43" s="48">
        <v>768.6</v>
      </c>
      <c r="D43" s="41">
        <f t="shared" si="0"/>
        <v>8.8222728427170358E-3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15237.57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761.87850000000003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14">
        <f>C46</f>
        <v>761.87850000000003</v>
      </c>
      <c r="C49" s="45">
        <f>-IF(C46&lt;=80,10%,IF(C46&lt;250,7.5%,5%))</f>
        <v>-0.05</v>
      </c>
      <c r="D49" s="33">
        <f>IF(C46&lt;=80,C46*0.9,IF(C46&lt;250,C46*0.925,C46*0.95))</f>
        <v>723.78457500000002</v>
      </c>
    </row>
    <row r="50" spans="1:6" ht="17.25" customHeight="1" x14ac:dyDescent="0.3">
      <c r="B50" s="515"/>
      <c r="C50" s="46">
        <f>IF(C46&lt;=80, 10%, IF(C46&lt;250, 7.5%, 5%))</f>
        <v>0.05</v>
      </c>
      <c r="D50" s="33">
        <f>IF(C46&lt;=80, C46*1.1, IF(C46&lt;250, C46*1.075, C46*1.05))</f>
        <v>799.97242500000004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2" t="s">
        <v>45</v>
      </c>
      <c r="B1" s="552"/>
      <c r="C1" s="552"/>
      <c r="D1" s="552"/>
      <c r="E1" s="552"/>
      <c r="F1" s="552"/>
      <c r="G1" s="552"/>
      <c r="H1" s="552"/>
      <c r="I1" s="552"/>
    </row>
    <row r="2" spans="1:9" ht="18.75" customHeight="1" x14ac:dyDescent="0.25">
      <c r="A2" s="552"/>
      <c r="B2" s="552"/>
      <c r="C2" s="552"/>
      <c r="D2" s="552"/>
      <c r="E2" s="552"/>
      <c r="F2" s="552"/>
      <c r="G2" s="552"/>
      <c r="H2" s="552"/>
      <c r="I2" s="552"/>
    </row>
    <row r="3" spans="1:9" ht="18.75" customHeight="1" x14ac:dyDescent="0.25">
      <c r="A3" s="552"/>
      <c r="B3" s="552"/>
      <c r="C3" s="552"/>
      <c r="D3" s="552"/>
      <c r="E3" s="552"/>
      <c r="F3" s="552"/>
      <c r="G3" s="552"/>
      <c r="H3" s="552"/>
      <c r="I3" s="552"/>
    </row>
    <row r="4" spans="1:9" ht="18.75" customHeight="1" x14ac:dyDescent="0.25">
      <c r="A4" s="552"/>
      <c r="B4" s="552"/>
      <c r="C4" s="552"/>
      <c r="D4" s="552"/>
      <c r="E4" s="552"/>
      <c r="F4" s="552"/>
      <c r="G4" s="552"/>
      <c r="H4" s="552"/>
      <c r="I4" s="552"/>
    </row>
    <row r="5" spans="1:9" ht="18.75" customHeight="1" x14ac:dyDescent="0.25">
      <c r="A5" s="552"/>
      <c r="B5" s="552"/>
      <c r="C5" s="552"/>
      <c r="D5" s="552"/>
      <c r="E5" s="552"/>
      <c r="F5" s="552"/>
      <c r="G5" s="552"/>
      <c r="H5" s="552"/>
      <c r="I5" s="552"/>
    </row>
    <row r="6" spans="1:9" ht="18.75" customHeight="1" x14ac:dyDescent="0.25">
      <c r="A6" s="552"/>
      <c r="B6" s="552"/>
      <c r="C6" s="552"/>
      <c r="D6" s="552"/>
      <c r="E6" s="552"/>
      <c r="F6" s="552"/>
      <c r="G6" s="552"/>
      <c r="H6" s="552"/>
      <c r="I6" s="552"/>
    </row>
    <row r="7" spans="1:9" ht="18.75" customHeight="1" x14ac:dyDescent="0.25">
      <c r="A7" s="552"/>
      <c r="B7" s="552"/>
      <c r="C7" s="552"/>
      <c r="D7" s="552"/>
      <c r="E7" s="552"/>
      <c r="F7" s="552"/>
      <c r="G7" s="552"/>
      <c r="H7" s="552"/>
      <c r="I7" s="552"/>
    </row>
    <row r="8" spans="1:9" x14ac:dyDescent="0.25">
      <c r="A8" s="553" t="s">
        <v>46</v>
      </c>
      <c r="B8" s="553"/>
      <c r="C8" s="553"/>
      <c r="D8" s="553"/>
      <c r="E8" s="553"/>
      <c r="F8" s="553"/>
      <c r="G8" s="553"/>
      <c r="H8" s="553"/>
      <c r="I8" s="553"/>
    </row>
    <row r="9" spans="1:9" x14ac:dyDescent="0.25">
      <c r="A9" s="553"/>
      <c r="B9" s="553"/>
      <c r="C9" s="553"/>
      <c r="D9" s="553"/>
      <c r="E9" s="553"/>
      <c r="F9" s="553"/>
      <c r="G9" s="553"/>
      <c r="H9" s="553"/>
      <c r="I9" s="553"/>
    </row>
    <row r="10" spans="1:9" x14ac:dyDescent="0.25">
      <c r="A10" s="553"/>
      <c r="B10" s="553"/>
      <c r="C10" s="553"/>
      <c r="D10" s="553"/>
      <c r="E10" s="553"/>
      <c r="F10" s="553"/>
      <c r="G10" s="553"/>
      <c r="H10" s="553"/>
      <c r="I10" s="553"/>
    </row>
    <row r="11" spans="1:9" x14ac:dyDescent="0.25">
      <c r="A11" s="553"/>
      <c r="B11" s="553"/>
      <c r="C11" s="553"/>
      <c r="D11" s="553"/>
      <c r="E11" s="553"/>
      <c r="F11" s="553"/>
      <c r="G11" s="553"/>
      <c r="H11" s="553"/>
      <c r="I11" s="553"/>
    </row>
    <row r="12" spans="1:9" x14ac:dyDescent="0.25">
      <c r="A12" s="553"/>
      <c r="B12" s="553"/>
      <c r="C12" s="553"/>
      <c r="D12" s="553"/>
      <c r="E12" s="553"/>
      <c r="F12" s="553"/>
      <c r="G12" s="553"/>
      <c r="H12" s="553"/>
      <c r="I12" s="553"/>
    </row>
    <row r="13" spans="1:9" x14ac:dyDescent="0.25">
      <c r="A13" s="553"/>
      <c r="B13" s="553"/>
      <c r="C13" s="553"/>
      <c r="D13" s="553"/>
      <c r="E13" s="553"/>
      <c r="F13" s="553"/>
      <c r="G13" s="553"/>
      <c r="H13" s="553"/>
      <c r="I13" s="553"/>
    </row>
    <row r="14" spans="1:9" x14ac:dyDescent="0.25">
      <c r="A14" s="553"/>
      <c r="B14" s="553"/>
      <c r="C14" s="553"/>
      <c r="D14" s="553"/>
      <c r="E14" s="553"/>
      <c r="F14" s="553"/>
      <c r="G14" s="553"/>
      <c r="H14" s="553"/>
      <c r="I14" s="553"/>
    </row>
    <row r="15" spans="1:9" ht="19.5" customHeight="1" x14ac:dyDescent="0.3">
      <c r="A15" s="50"/>
    </row>
    <row r="16" spans="1:9" ht="19.5" customHeight="1" x14ac:dyDescent="0.3">
      <c r="A16" s="525" t="s">
        <v>31</v>
      </c>
      <c r="B16" s="526"/>
      <c r="C16" s="526"/>
      <c r="D16" s="526"/>
      <c r="E16" s="526"/>
      <c r="F16" s="526"/>
      <c r="G16" s="526"/>
      <c r="H16" s="527"/>
    </row>
    <row r="17" spans="1:14" ht="20.25" customHeight="1" x14ac:dyDescent="0.25">
      <c r="A17" s="528" t="s">
        <v>47</v>
      </c>
      <c r="B17" s="528"/>
      <c r="C17" s="528"/>
      <c r="D17" s="528"/>
      <c r="E17" s="528"/>
      <c r="F17" s="528"/>
      <c r="G17" s="528"/>
      <c r="H17" s="528"/>
    </row>
    <row r="18" spans="1:14" ht="26.25" customHeight="1" x14ac:dyDescent="0.4">
      <c r="A18" s="52" t="s">
        <v>33</v>
      </c>
      <c r="B18" s="524" t="s">
        <v>142</v>
      </c>
      <c r="C18" s="524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29" t="s">
        <v>131</v>
      </c>
      <c r="C20" s="52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29" t="s">
        <v>143</v>
      </c>
      <c r="C21" s="529"/>
      <c r="D21" s="529"/>
      <c r="E21" s="529"/>
      <c r="F21" s="529"/>
      <c r="G21" s="529"/>
      <c r="H21" s="529"/>
      <c r="I21" s="56"/>
    </row>
    <row r="22" spans="1:14" ht="26.25" customHeight="1" x14ac:dyDescent="0.4">
      <c r="A22" s="52" t="s">
        <v>37</v>
      </c>
      <c r="B22" s="57">
        <v>42676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42684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24" t="s">
        <v>131</v>
      </c>
      <c r="C26" s="524"/>
    </row>
    <row r="27" spans="1:14" ht="26.25" customHeight="1" x14ac:dyDescent="0.4">
      <c r="A27" s="61" t="s">
        <v>48</v>
      </c>
      <c r="B27" s="530" t="s">
        <v>144</v>
      </c>
      <c r="C27" s="530"/>
    </row>
    <row r="28" spans="1:14" ht="27" customHeight="1" x14ac:dyDescent="0.4">
      <c r="A28" s="61" t="s">
        <v>6</v>
      </c>
      <c r="B28" s="62">
        <v>99.3</v>
      </c>
    </row>
    <row r="29" spans="1:14" s="3" customFormat="1" ht="27" customHeight="1" x14ac:dyDescent="0.4">
      <c r="A29" s="61" t="s">
        <v>49</v>
      </c>
      <c r="B29" s="63">
        <v>0</v>
      </c>
      <c r="C29" s="531" t="s">
        <v>89</v>
      </c>
      <c r="D29" s="532"/>
      <c r="E29" s="532"/>
      <c r="F29" s="532"/>
      <c r="G29" s="533"/>
      <c r="I29" s="64"/>
      <c r="J29" s="64"/>
      <c r="K29" s="64"/>
      <c r="L29" s="64"/>
    </row>
    <row r="30" spans="1:14" s="3" customFormat="1" ht="19.5" customHeight="1" x14ac:dyDescent="0.3">
      <c r="A30" s="61" t="s">
        <v>50</v>
      </c>
      <c r="B30" s="65">
        <f>B28-B29</f>
        <v>99.3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51</v>
      </c>
      <c r="B31" s="68">
        <v>1</v>
      </c>
      <c r="C31" s="534" t="s">
        <v>52</v>
      </c>
      <c r="D31" s="535"/>
      <c r="E31" s="535"/>
      <c r="F31" s="535"/>
      <c r="G31" s="535"/>
      <c r="H31" s="536"/>
      <c r="I31" s="64"/>
      <c r="J31" s="64"/>
      <c r="K31" s="64"/>
      <c r="L31" s="64"/>
    </row>
    <row r="32" spans="1:14" s="3" customFormat="1" ht="27" customHeight="1" x14ac:dyDescent="0.4">
      <c r="A32" s="61" t="s">
        <v>53</v>
      </c>
      <c r="B32" s="68">
        <v>1</v>
      </c>
      <c r="C32" s="534" t="s">
        <v>54</v>
      </c>
      <c r="D32" s="535"/>
      <c r="E32" s="535"/>
      <c r="F32" s="535"/>
      <c r="G32" s="535"/>
      <c r="H32" s="53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55</v>
      </c>
      <c r="B34" s="73">
        <f>B31/B32</f>
        <v>1</v>
      </c>
      <c r="C34" s="51" t="s">
        <v>56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104</v>
      </c>
      <c r="B36" s="75">
        <v>100</v>
      </c>
      <c r="C36" s="51"/>
      <c r="D36" s="537" t="s">
        <v>57</v>
      </c>
      <c r="E36" s="538"/>
      <c r="F36" s="537" t="s">
        <v>58</v>
      </c>
      <c r="G36" s="53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59</v>
      </c>
      <c r="B37" s="77">
        <v>1</v>
      </c>
      <c r="C37" s="78" t="s">
        <v>60</v>
      </c>
      <c r="D37" s="79" t="s">
        <v>61</v>
      </c>
      <c r="E37" s="80" t="s">
        <v>62</v>
      </c>
      <c r="F37" s="79" t="s">
        <v>61</v>
      </c>
      <c r="G37" s="81" t="s">
        <v>62</v>
      </c>
      <c r="I37" s="82" t="s">
        <v>105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</v>
      </c>
      <c r="C38" s="83">
        <v>1</v>
      </c>
      <c r="D38" s="84">
        <v>32508376</v>
      </c>
      <c r="E38" s="85">
        <f>IF(ISBLANK(D38),"-",$D$48/$D$45*D38)</f>
        <v>30200681.523431547</v>
      </c>
      <c r="F38" s="84">
        <v>36080426</v>
      </c>
      <c r="G38" s="86">
        <f>IF(ISBLANK(F38),"-",$D$48/$F$45*F38)</f>
        <v>29946238.504697718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32501130</v>
      </c>
      <c r="E39" s="90">
        <f>IF(ISBLANK(D39),"-",$D$48/$D$45*D39)</f>
        <v>30193949.900224075</v>
      </c>
      <c r="F39" s="89">
        <v>36380270</v>
      </c>
      <c r="G39" s="91">
        <f>IF(ISBLANK(F39),"-",$D$48/$F$45*F39)</f>
        <v>30195104.744198401</v>
      </c>
      <c r="I39" s="541">
        <f>ABS((F43/D43*D42)-F42)/D42</f>
        <v>7.1423936731146867E-3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32755274</v>
      </c>
      <c r="E40" s="90">
        <f>IF(ISBLANK(D40),"-",$D$48/$D$45*D40)</f>
        <v>30430052.805059772</v>
      </c>
      <c r="F40" s="89">
        <v>36270242</v>
      </c>
      <c r="G40" s="91">
        <f>IF(ISBLANK(F40),"-",$D$48/$F$45*F40)</f>
        <v>30103783.074931111</v>
      </c>
      <c r="I40" s="541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32588260</v>
      </c>
      <c r="E42" s="100">
        <f>AVERAGE(E38:E41)</f>
        <v>30274894.742905129</v>
      </c>
      <c r="F42" s="99">
        <f>AVERAGE(F38:F41)</f>
        <v>36243646</v>
      </c>
      <c r="G42" s="101">
        <f>AVERAGE(G38:G41)</f>
        <v>30081708.774609078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106</v>
      </c>
      <c r="D43" s="104">
        <v>16.260000000000002</v>
      </c>
      <c r="E43" s="92"/>
      <c r="F43" s="104">
        <v>18.2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107</v>
      </c>
      <c r="D44" s="106">
        <f>D43*$B$34</f>
        <v>16.260000000000002</v>
      </c>
      <c r="E44" s="107"/>
      <c r="F44" s="106">
        <f>F43*$B$34</f>
        <v>18.2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100</v>
      </c>
      <c r="C45" s="105" t="s">
        <v>74</v>
      </c>
      <c r="D45" s="109">
        <f>D44*$B$30/100</f>
        <v>16.146180000000001</v>
      </c>
      <c r="E45" s="110"/>
      <c r="F45" s="109">
        <f>F44*$B$30/100</f>
        <v>18.072600000000001</v>
      </c>
      <c r="H45" s="102"/>
    </row>
    <row r="46" spans="1:14" ht="19.5" customHeight="1" x14ac:dyDescent="0.3">
      <c r="A46" s="542" t="s">
        <v>75</v>
      </c>
      <c r="B46" s="543"/>
      <c r="C46" s="105" t="s">
        <v>76</v>
      </c>
      <c r="D46" s="111">
        <f>D45/$B$45</f>
        <v>0.16146180000000002</v>
      </c>
      <c r="E46" s="112"/>
      <c r="F46" s="113">
        <f>F45/$B$45</f>
        <v>0.18072600000000003</v>
      </c>
      <c r="H46" s="102"/>
    </row>
    <row r="47" spans="1:14" ht="27" customHeight="1" x14ac:dyDescent="0.4">
      <c r="A47" s="544"/>
      <c r="B47" s="545"/>
      <c r="C47" s="114" t="s">
        <v>108</v>
      </c>
      <c r="D47" s="115">
        <v>0.15</v>
      </c>
      <c r="E47" s="116"/>
      <c r="F47" s="112"/>
      <c r="H47" s="102"/>
    </row>
    <row r="48" spans="1:14" ht="18.75" x14ac:dyDescent="0.3">
      <c r="C48" s="117" t="s">
        <v>77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78</v>
      </c>
      <c r="D49" s="120">
        <f>D48/B34</f>
        <v>15</v>
      </c>
      <c r="F49" s="118"/>
      <c r="H49" s="102"/>
    </row>
    <row r="50" spans="1:12" ht="18.75" x14ac:dyDescent="0.3">
      <c r="C50" s="74" t="s">
        <v>79</v>
      </c>
      <c r="D50" s="121">
        <f>AVERAGE(E38:E41,G38:G41)</f>
        <v>30178301.758757103</v>
      </c>
      <c r="F50" s="122"/>
      <c r="H50" s="102"/>
    </row>
    <row r="51" spans="1:12" ht="18.75" x14ac:dyDescent="0.3">
      <c r="C51" s="76" t="s">
        <v>80</v>
      </c>
      <c r="D51" s="123">
        <f>STDEV(E38:E41,G38:G41)/D50</f>
        <v>5.2143885254478783E-3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81</v>
      </c>
    </row>
    <row r="55" spans="1:12" ht="18.75" x14ac:dyDescent="0.3">
      <c r="A55" s="51" t="s">
        <v>82</v>
      </c>
      <c r="B55" s="128" t="str">
        <f>B21</f>
        <v>Each Film Coated Tablet Contains Lamivudine USP 150MG, Nevirapine USP 200MG, Zidovudine USP 300MG</v>
      </c>
    </row>
    <row r="56" spans="1:12" ht="26.25" customHeight="1" x14ac:dyDescent="0.4">
      <c r="A56" s="129" t="s">
        <v>83</v>
      </c>
      <c r="B56" s="130">
        <v>150</v>
      </c>
      <c r="C56" s="51" t="str">
        <f>B20</f>
        <v>Lamivudine</v>
      </c>
      <c r="H56" s="131"/>
    </row>
    <row r="57" spans="1:12" ht="18.75" x14ac:dyDescent="0.3">
      <c r="A57" s="128" t="s">
        <v>84</v>
      </c>
      <c r="B57" s="199">
        <f>Uniformity!C46</f>
        <v>761.87850000000003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109</v>
      </c>
      <c r="B59" s="75">
        <v>200</v>
      </c>
      <c r="C59" s="51"/>
      <c r="D59" s="132" t="s">
        <v>110</v>
      </c>
      <c r="E59" s="133" t="s">
        <v>60</v>
      </c>
      <c r="F59" s="133" t="s">
        <v>61</v>
      </c>
      <c r="G59" s="133" t="s">
        <v>111</v>
      </c>
      <c r="H59" s="78" t="s">
        <v>112</v>
      </c>
      <c r="L59" s="64"/>
    </row>
    <row r="60" spans="1:12" s="3" customFormat="1" ht="26.25" customHeight="1" x14ac:dyDescent="0.4">
      <c r="A60" s="76" t="s">
        <v>113</v>
      </c>
      <c r="B60" s="77">
        <v>4</v>
      </c>
      <c r="C60" s="546" t="s">
        <v>114</v>
      </c>
      <c r="D60" s="549">
        <v>767.49</v>
      </c>
      <c r="E60" s="134">
        <v>1</v>
      </c>
      <c r="F60" s="135">
        <v>29813213</v>
      </c>
      <c r="G60" s="200">
        <f>IF(ISBLANK(F60),"-",(F60/$D$50*$D$47*$B$68)*($B$57/$D$60))</f>
        <v>147.10188491475631</v>
      </c>
      <c r="H60" s="218">
        <f t="shared" ref="H60:H71" si="0">IF(ISBLANK(F60),"-",(G60/$B$56)*100)</f>
        <v>98.067923276504203</v>
      </c>
      <c r="L60" s="64"/>
    </row>
    <row r="61" spans="1:12" s="3" customFormat="1" ht="26.25" customHeight="1" x14ac:dyDescent="0.4">
      <c r="A61" s="76" t="s">
        <v>94</v>
      </c>
      <c r="B61" s="77">
        <v>20</v>
      </c>
      <c r="C61" s="547"/>
      <c r="D61" s="550"/>
      <c r="E61" s="136">
        <v>2</v>
      </c>
      <c r="F61" s="89">
        <v>29946552</v>
      </c>
      <c r="G61" s="201">
        <f>IF(ISBLANK(F61),"-",(F61/$D$50*$D$47*$B$68)*($B$57/$D$60))</f>
        <v>147.75979515853479</v>
      </c>
      <c r="H61" s="219">
        <f t="shared" si="0"/>
        <v>98.506530105689862</v>
      </c>
      <c r="L61" s="64"/>
    </row>
    <row r="62" spans="1:12" s="3" customFormat="1" ht="26.25" customHeight="1" x14ac:dyDescent="0.4">
      <c r="A62" s="76" t="s">
        <v>95</v>
      </c>
      <c r="B62" s="77">
        <v>1</v>
      </c>
      <c r="C62" s="547"/>
      <c r="D62" s="550"/>
      <c r="E62" s="136">
        <v>3</v>
      </c>
      <c r="F62" s="137">
        <v>29831250</v>
      </c>
      <c r="G62" s="201">
        <f>IF(ISBLANK(F62),"-",(F62/$D$50*$D$47*$B$68)*($B$57/$D$60))</f>
        <v>147.19088158540058</v>
      </c>
      <c r="H62" s="219">
        <f t="shared" si="0"/>
        <v>98.127254390267055</v>
      </c>
      <c r="L62" s="64"/>
    </row>
    <row r="63" spans="1:12" ht="27" customHeight="1" x14ac:dyDescent="0.4">
      <c r="A63" s="76" t="s">
        <v>96</v>
      </c>
      <c r="B63" s="77">
        <v>1</v>
      </c>
      <c r="C63" s="548"/>
      <c r="D63" s="551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97</v>
      </c>
      <c r="B64" s="77">
        <v>1</v>
      </c>
      <c r="C64" s="546" t="s">
        <v>115</v>
      </c>
      <c r="D64" s="549">
        <v>761.81</v>
      </c>
      <c r="E64" s="134">
        <v>1</v>
      </c>
      <c r="F64" s="135">
        <v>30206675</v>
      </c>
      <c r="G64" s="200">
        <f>IF(ISBLANK(F64),"-",(F64/$D$50*$D$47*$B$68)*($B$57/$D$64))</f>
        <v>150.15452831730599</v>
      </c>
      <c r="H64" s="218">
        <f t="shared" si="0"/>
        <v>100.10301887820398</v>
      </c>
    </row>
    <row r="65" spans="1:8" ht="26.25" customHeight="1" x14ac:dyDescent="0.4">
      <c r="A65" s="76" t="s">
        <v>98</v>
      </c>
      <c r="B65" s="77">
        <v>1</v>
      </c>
      <c r="C65" s="547"/>
      <c r="D65" s="550"/>
      <c r="E65" s="136">
        <v>2</v>
      </c>
      <c r="F65" s="89">
        <v>30239486</v>
      </c>
      <c r="G65" s="201">
        <f>IF(ISBLANK(F65),"-",(F65/$D$50*$D$47*$B$68)*($B$57/$D$64))</f>
        <v>150.31762869921229</v>
      </c>
      <c r="H65" s="219">
        <f t="shared" si="0"/>
        <v>100.21175246614153</v>
      </c>
    </row>
    <row r="66" spans="1:8" ht="26.25" customHeight="1" x14ac:dyDescent="0.4">
      <c r="A66" s="76" t="s">
        <v>99</v>
      </c>
      <c r="B66" s="77">
        <v>1</v>
      </c>
      <c r="C66" s="547"/>
      <c r="D66" s="550"/>
      <c r="E66" s="136">
        <v>3</v>
      </c>
      <c r="F66" s="89">
        <v>30142217</v>
      </c>
      <c r="G66" s="201">
        <f>IF(ISBLANK(F66),"-",(F66/$D$50*$D$47*$B$68)*($B$57/$D$64))</f>
        <v>149.83411368755026</v>
      </c>
      <c r="H66" s="219">
        <f t="shared" si="0"/>
        <v>99.889409125033495</v>
      </c>
    </row>
    <row r="67" spans="1:8" ht="27" customHeight="1" x14ac:dyDescent="0.4">
      <c r="A67" s="76" t="s">
        <v>100</v>
      </c>
      <c r="B67" s="77">
        <v>1</v>
      </c>
      <c r="C67" s="548"/>
      <c r="D67" s="551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101</v>
      </c>
      <c r="B68" s="140">
        <f>(B67/B66)*(B65/B64)*(B63/B62)*(B61/B60)*B59</f>
        <v>1000</v>
      </c>
      <c r="C68" s="546" t="s">
        <v>116</v>
      </c>
      <c r="D68" s="549">
        <v>777.05</v>
      </c>
      <c r="E68" s="134">
        <v>1</v>
      </c>
      <c r="F68" s="135">
        <v>30628034</v>
      </c>
      <c r="G68" s="200">
        <f>IF(ISBLANK(F68),"-",(F68/$D$50*$D$47*$B$68)*($B$57/$D$68))</f>
        <v>149.26305839767187</v>
      </c>
      <c r="H68" s="219">
        <f t="shared" si="0"/>
        <v>99.508705598447904</v>
      </c>
    </row>
    <row r="69" spans="1:8" ht="27" customHeight="1" x14ac:dyDescent="0.4">
      <c r="A69" s="124" t="s">
        <v>117</v>
      </c>
      <c r="B69" s="141">
        <f>(D47*B68)/B56*B57</f>
        <v>761.87850000000003</v>
      </c>
      <c r="C69" s="547"/>
      <c r="D69" s="550"/>
      <c r="E69" s="136">
        <v>2</v>
      </c>
      <c r="F69" s="89">
        <v>30510209</v>
      </c>
      <c r="G69" s="201">
        <f>IF(ISBLANK(F69),"-",(F69/$D$50*$D$47*$B$68)*($B$57/$D$68))</f>
        <v>148.68884851349497</v>
      </c>
      <c r="H69" s="219">
        <f t="shared" si="0"/>
        <v>99.125899008996655</v>
      </c>
    </row>
    <row r="70" spans="1:8" ht="26.25" customHeight="1" x14ac:dyDescent="0.4">
      <c r="A70" s="559" t="s">
        <v>75</v>
      </c>
      <c r="B70" s="560"/>
      <c r="C70" s="547"/>
      <c r="D70" s="550"/>
      <c r="E70" s="136">
        <v>3</v>
      </c>
      <c r="F70" s="89">
        <v>30501110</v>
      </c>
      <c r="G70" s="201">
        <f>IF(ISBLANK(F70),"-",(F70/$D$50*$D$47*$B$68)*($B$57/$D$68))</f>
        <v>148.6445053288048</v>
      </c>
      <c r="H70" s="219">
        <f t="shared" si="0"/>
        <v>99.09633688586986</v>
      </c>
    </row>
    <row r="71" spans="1:8" ht="27" customHeight="1" x14ac:dyDescent="0.4">
      <c r="A71" s="561"/>
      <c r="B71" s="562"/>
      <c r="C71" s="558"/>
      <c r="D71" s="551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68</v>
      </c>
      <c r="G72" s="206">
        <f>AVERAGE(G60:G71)</f>
        <v>148.7728049558591</v>
      </c>
      <c r="H72" s="221">
        <f>AVERAGE(H60:H71)</f>
        <v>99.18186997057272</v>
      </c>
    </row>
    <row r="73" spans="1:8" ht="26.25" customHeight="1" x14ac:dyDescent="0.4">
      <c r="C73" s="142"/>
      <c r="D73" s="142"/>
      <c r="E73" s="142"/>
      <c r="F73" s="145" t="s">
        <v>80</v>
      </c>
      <c r="G73" s="205">
        <f>STDEV(G60:G71)/G72</f>
        <v>8.23455238000299E-3</v>
      </c>
      <c r="H73" s="205">
        <f>STDEV(H60:H71)/H72</f>
        <v>8.2345523800029657E-3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118</v>
      </c>
      <c r="B76" s="149" t="s">
        <v>85</v>
      </c>
      <c r="C76" s="554" t="str">
        <f>B26</f>
        <v>Lamivudine</v>
      </c>
      <c r="D76" s="554"/>
      <c r="E76" s="150" t="s">
        <v>86</v>
      </c>
      <c r="F76" s="150"/>
      <c r="G76" s="151">
        <f>H72</f>
        <v>99.18186997057272</v>
      </c>
      <c r="H76" s="152"/>
    </row>
    <row r="77" spans="1:8" ht="18.75" x14ac:dyDescent="0.3">
      <c r="A77" s="59" t="s">
        <v>87</v>
      </c>
      <c r="B77" s="59" t="s">
        <v>88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40" t="str">
        <f>B26</f>
        <v>Lamivudine</v>
      </c>
      <c r="C79" s="540"/>
    </row>
    <row r="80" spans="1:8" ht="26.25" customHeight="1" x14ac:dyDescent="0.4">
      <c r="A80" s="61" t="s">
        <v>48</v>
      </c>
      <c r="B80" s="540" t="s">
        <v>137</v>
      </c>
      <c r="C80" s="540"/>
    </row>
    <row r="81" spans="1:12" ht="27" customHeight="1" x14ac:dyDescent="0.4">
      <c r="A81" s="61" t="s">
        <v>6</v>
      </c>
      <c r="B81" s="153">
        <v>99.39</v>
      </c>
    </row>
    <row r="82" spans="1:12" s="3" customFormat="1" ht="27" customHeight="1" x14ac:dyDescent="0.4">
      <c r="A82" s="61" t="s">
        <v>49</v>
      </c>
      <c r="B82" s="63">
        <v>0</v>
      </c>
      <c r="C82" s="531" t="s">
        <v>89</v>
      </c>
      <c r="D82" s="532"/>
      <c r="E82" s="532"/>
      <c r="F82" s="532"/>
      <c r="G82" s="533"/>
      <c r="I82" s="64"/>
      <c r="J82" s="64"/>
      <c r="K82" s="64"/>
      <c r="L82" s="64"/>
    </row>
    <row r="83" spans="1:12" s="3" customFormat="1" ht="19.5" customHeight="1" x14ac:dyDescent="0.3">
      <c r="A83" s="61" t="s">
        <v>50</v>
      </c>
      <c r="B83" s="65">
        <f>B81-B82</f>
        <v>99.39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51</v>
      </c>
      <c r="B84" s="68">
        <v>1</v>
      </c>
      <c r="C84" s="534" t="s">
        <v>119</v>
      </c>
      <c r="D84" s="535"/>
      <c r="E84" s="535"/>
      <c r="F84" s="535"/>
      <c r="G84" s="535"/>
      <c r="H84" s="536"/>
      <c r="I84" s="64"/>
      <c r="J84" s="64"/>
      <c r="K84" s="64"/>
      <c r="L84" s="64"/>
    </row>
    <row r="85" spans="1:12" s="3" customFormat="1" ht="27" customHeight="1" x14ac:dyDescent="0.4">
      <c r="A85" s="61" t="s">
        <v>53</v>
      </c>
      <c r="B85" s="68">
        <v>1</v>
      </c>
      <c r="C85" s="534" t="s">
        <v>120</v>
      </c>
      <c r="D85" s="535"/>
      <c r="E85" s="535"/>
      <c r="F85" s="535"/>
      <c r="G85" s="535"/>
      <c r="H85" s="536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55</v>
      </c>
      <c r="B87" s="73">
        <f>B84/B85</f>
        <v>1</v>
      </c>
      <c r="C87" s="51" t="s">
        <v>56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104</v>
      </c>
      <c r="B89" s="75">
        <v>100</v>
      </c>
      <c r="D89" s="154" t="s">
        <v>57</v>
      </c>
      <c r="E89" s="155"/>
      <c r="F89" s="537" t="s">
        <v>58</v>
      </c>
      <c r="G89" s="539"/>
    </row>
    <row r="90" spans="1:12" ht="27" customHeight="1" x14ac:dyDescent="0.4">
      <c r="A90" s="76" t="s">
        <v>59</v>
      </c>
      <c r="B90" s="77">
        <v>1</v>
      </c>
      <c r="C90" s="156" t="s">
        <v>60</v>
      </c>
      <c r="D90" s="79" t="s">
        <v>61</v>
      </c>
      <c r="E90" s="80" t="s">
        <v>62</v>
      </c>
      <c r="F90" s="79" t="s">
        <v>61</v>
      </c>
      <c r="G90" s="157" t="s">
        <v>62</v>
      </c>
      <c r="I90" s="82" t="s">
        <v>105</v>
      </c>
    </row>
    <row r="91" spans="1:12" ht="26.25" customHeight="1" x14ac:dyDescent="0.4">
      <c r="A91" s="76" t="s">
        <v>63</v>
      </c>
      <c r="B91" s="77">
        <v>1</v>
      </c>
      <c r="C91" s="158">
        <v>1</v>
      </c>
      <c r="D91" s="84">
        <v>117459841</v>
      </c>
      <c r="E91" s="85">
        <f>IF(ISBLANK(D91),"-",$D$101/$D$98*D91)</f>
        <v>61842356.638182588</v>
      </c>
      <c r="F91" s="84">
        <v>111926925</v>
      </c>
      <c r="G91" s="86">
        <f>IF(ISBLANK(F91),"-",$D$101/$F$98*F91)</f>
        <v>61841773.533546396</v>
      </c>
      <c r="I91" s="87"/>
    </row>
    <row r="92" spans="1:12" ht="26.25" customHeight="1" x14ac:dyDescent="0.4">
      <c r="A92" s="76" t="s">
        <v>64</v>
      </c>
      <c r="B92" s="77">
        <v>1</v>
      </c>
      <c r="C92" s="143">
        <v>2</v>
      </c>
      <c r="D92" s="89">
        <v>117508526</v>
      </c>
      <c r="E92" s="90">
        <f>IF(ISBLANK(D92),"-",$D$101/$D$98*D92)</f>
        <v>61867989.187207833</v>
      </c>
      <c r="F92" s="89">
        <v>112050280</v>
      </c>
      <c r="G92" s="91">
        <f>IF(ISBLANK(F92),"-",$D$101/$F$98*F92)</f>
        <v>61909929.53778068</v>
      </c>
      <c r="I92" s="541">
        <f>ABS((F96/D96*D95)-F95)/D95</f>
        <v>9.5033263047531271E-4</v>
      </c>
    </row>
    <row r="93" spans="1:12" ht="26.25" customHeight="1" x14ac:dyDescent="0.4">
      <c r="A93" s="76" t="s">
        <v>65</v>
      </c>
      <c r="B93" s="77">
        <v>1</v>
      </c>
      <c r="C93" s="143">
        <v>3</v>
      </c>
      <c r="D93" s="89">
        <v>118088512</v>
      </c>
      <c r="E93" s="90">
        <f>IF(ISBLANK(D93),"-",$D$101/$D$98*D93)</f>
        <v>62173350.583509684</v>
      </c>
      <c r="F93" s="89">
        <v>112116670</v>
      </c>
      <c r="G93" s="91">
        <f>IF(ISBLANK(F93),"-",$D$101/$F$98*F93)</f>
        <v>61946611.286563575</v>
      </c>
      <c r="I93" s="541"/>
    </row>
    <row r="94" spans="1:12" ht="27" customHeight="1" x14ac:dyDescent="0.4">
      <c r="A94" s="76" t="s">
        <v>66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1" t="s">
        <v>68</v>
      </c>
      <c r="D95" s="162">
        <f>AVERAGE(D91:D94)</f>
        <v>117685626.33333333</v>
      </c>
      <c r="E95" s="100">
        <f>AVERAGE(E91:E94)</f>
        <v>61961232.136300035</v>
      </c>
      <c r="F95" s="163">
        <f>AVERAGE(F91:F94)</f>
        <v>112031291.66666667</v>
      </c>
      <c r="G95" s="164">
        <f>AVERAGE(G91:G94)</f>
        <v>61899438.119296886</v>
      </c>
    </row>
    <row r="96" spans="1:12" ht="26.25" customHeight="1" x14ac:dyDescent="0.4">
      <c r="A96" s="76" t="s">
        <v>69</v>
      </c>
      <c r="B96" s="62">
        <v>1</v>
      </c>
      <c r="C96" s="165" t="s">
        <v>70</v>
      </c>
      <c r="D96" s="166">
        <v>31.85</v>
      </c>
      <c r="E96" s="92"/>
      <c r="F96" s="104">
        <v>30.35</v>
      </c>
    </row>
    <row r="97" spans="1:10" ht="26.25" customHeight="1" x14ac:dyDescent="0.4">
      <c r="A97" s="76" t="s">
        <v>71</v>
      </c>
      <c r="B97" s="62">
        <v>1</v>
      </c>
      <c r="C97" s="167" t="s">
        <v>72</v>
      </c>
      <c r="D97" s="168">
        <f>D96*$B$87</f>
        <v>31.85</v>
      </c>
      <c r="E97" s="107"/>
      <c r="F97" s="106">
        <f>F96*$B$87</f>
        <v>30.35</v>
      </c>
    </row>
    <row r="98" spans="1:10" ht="19.5" customHeight="1" x14ac:dyDescent="0.3">
      <c r="A98" s="76" t="s">
        <v>73</v>
      </c>
      <c r="B98" s="169">
        <f>(B97/B96)*(B95/B94)*(B93/B92)*(B91/B90)*B89</f>
        <v>100</v>
      </c>
      <c r="C98" s="167" t="s">
        <v>121</v>
      </c>
      <c r="D98" s="170">
        <f>D97*$B$83/100</f>
        <v>31.655715000000001</v>
      </c>
      <c r="E98" s="110"/>
      <c r="F98" s="109">
        <f>F97*$B$83/100</f>
        <v>30.164864999999999</v>
      </c>
    </row>
    <row r="99" spans="1:10" ht="19.5" customHeight="1" x14ac:dyDescent="0.3">
      <c r="A99" s="542" t="s">
        <v>75</v>
      </c>
      <c r="B99" s="556"/>
      <c r="C99" s="167" t="s">
        <v>122</v>
      </c>
      <c r="D99" s="171">
        <f>D98/$B$98</f>
        <v>0.31655715000000001</v>
      </c>
      <c r="E99" s="110"/>
      <c r="F99" s="113">
        <f>F98/$B$98</f>
        <v>0.30164864999999996</v>
      </c>
      <c r="G99" s="172"/>
      <c r="H99" s="102"/>
    </row>
    <row r="100" spans="1:10" ht="19.5" customHeight="1" x14ac:dyDescent="0.3">
      <c r="A100" s="544"/>
      <c r="B100" s="557"/>
      <c r="C100" s="167" t="s">
        <v>108</v>
      </c>
      <c r="D100" s="173">
        <f>$B$56/$B$116</f>
        <v>0.16666666666666666</v>
      </c>
      <c r="F100" s="118"/>
      <c r="G100" s="174"/>
      <c r="H100" s="102"/>
    </row>
    <row r="101" spans="1:10" ht="18.75" x14ac:dyDescent="0.3">
      <c r="C101" s="167" t="s">
        <v>77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78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123</v>
      </c>
      <c r="D103" s="179">
        <f>AVERAGE(E91:E94,G91:G94)</f>
        <v>61930335.12779846</v>
      </c>
      <c r="F103" s="122"/>
      <c r="G103" s="180"/>
      <c r="H103" s="102"/>
      <c r="J103" s="181"/>
    </row>
    <row r="104" spans="1:10" ht="18.75" x14ac:dyDescent="0.3">
      <c r="C104" s="145" t="s">
        <v>80</v>
      </c>
      <c r="D104" s="182">
        <f>STDEV(E91:E94,G91:G94)/D103</f>
        <v>2.0323412871118816E-3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90</v>
      </c>
      <c r="B107" s="75">
        <v>900</v>
      </c>
      <c r="C107" s="222" t="s">
        <v>124</v>
      </c>
      <c r="D107" s="222" t="s">
        <v>61</v>
      </c>
      <c r="E107" s="222" t="s">
        <v>91</v>
      </c>
      <c r="F107" s="184" t="s">
        <v>92</v>
      </c>
    </row>
    <row r="108" spans="1:10" ht="26.25" customHeight="1" x14ac:dyDescent="0.4">
      <c r="A108" s="76" t="s">
        <v>93</v>
      </c>
      <c r="B108" s="77">
        <v>1</v>
      </c>
      <c r="C108" s="227">
        <v>1</v>
      </c>
      <c r="D108" s="228">
        <v>59533328</v>
      </c>
      <c r="E108" s="202">
        <f t="shared" ref="E108:E113" si="1">IF(ISBLANK(D108),"-",D108/$D$103*$D$100*$B$116)</f>
        <v>144.19426572732399</v>
      </c>
      <c r="F108" s="229">
        <f t="shared" ref="F108:F113" si="2">IF(ISBLANK(D108), "-", (E108/$B$56)*100)</f>
        <v>96.129510484882658</v>
      </c>
    </row>
    <row r="109" spans="1:10" ht="26.25" customHeight="1" x14ac:dyDescent="0.4">
      <c r="A109" s="76" t="s">
        <v>94</v>
      </c>
      <c r="B109" s="77">
        <v>1</v>
      </c>
      <c r="C109" s="223">
        <v>2</v>
      </c>
      <c r="D109" s="225">
        <v>59385279</v>
      </c>
      <c r="E109" s="203">
        <f t="shared" si="1"/>
        <v>143.83567974592776</v>
      </c>
      <c r="F109" s="230">
        <f t="shared" si="2"/>
        <v>95.890453163951832</v>
      </c>
    </row>
    <row r="110" spans="1:10" ht="26.25" customHeight="1" x14ac:dyDescent="0.4">
      <c r="A110" s="76" t="s">
        <v>95</v>
      </c>
      <c r="B110" s="77">
        <v>1</v>
      </c>
      <c r="C110" s="223">
        <v>3</v>
      </c>
      <c r="D110" s="225">
        <v>59610319</v>
      </c>
      <c r="E110" s="203">
        <f t="shared" si="1"/>
        <v>144.38074380751149</v>
      </c>
      <c r="F110" s="230">
        <f t="shared" si="2"/>
        <v>96.253829205007662</v>
      </c>
    </row>
    <row r="111" spans="1:10" ht="26.25" customHeight="1" x14ac:dyDescent="0.4">
      <c r="A111" s="76" t="s">
        <v>96</v>
      </c>
      <c r="B111" s="77">
        <v>1</v>
      </c>
      <c r="C111" s="223">
        <v>4</v>
      </c>
      <c r="D111" s="225">
        <v>59175900</v>
      </c>
      <c r="E111" s="203">
        <f t="shared" si="1"/>
        <v>143.32854782204606</v>
      </c>
      <c r="F111" s="230">
        <f t="shared" si="2"/>
        <v>95.552365214697375</v>
      </c>
    </row>
    <row r="112" spans="1:10" ht="26.25" customHeight="1" x14ac:dyDescent="0.4">
      <c r="A112" s="76" t="s">
        <v>97</v>
      </c>
      <c r="B112" s="77">
        <v>1</v>
      </c>
      <c r="C112" s="223">
        <v>5</v>
      </c>
      <c r="D112" s="225">
        <v>59346648</v>
      </c>
      <c r="E112" s="203">
        <f t="shared" si="1"/>
        <v>143.74211251448872</v>
      </c>
      <c r="F112" s="230">
        <f t="shared" si="2"/>
        <v>95.828075009659159</v>
      </c>
    </row>
    <row r="113" spans="1:10" ht="27" customHeight="1" x14ac:dyDescent="0.4">
      <c r="A113" s="76" t="s">
        <v>98</v>
      </c>
      <c r="B113" s="77">
        <v>1</v>
      </c>
      <c r="C113" s="224">
        <v>6</v>
      </c>
      <c r="D113" s="226">
        <v>59517902</v>
      </c>
      <c r="E113" s="204">
        <f t="shared" si="1"/>
        <v>144.156902777564</v>
      </c>
      <c r="F113" s="231">
        <f t="shared" si="2"/>
        <v>96.104601851709333</v>
      </c>
    </row>
    <row r="114" spans="1:10" ht="27" customHeight="1" x14ac:dyDescent="0.4">
      <c r="A114" s="76" t="s">
        <v>99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100</v>
      </c>
      <c r="B115" s="77">
        <v>1</v>
      </c>
      <c r="C115" s="185"/>
      <c r="D115" s="209" t="s">
        <v>68</v>
      </c>
      <c r="E115" s="211">
        <f>AVERAGE(E108:E113)</f>
        <v>143.93970873247702</v>
      </c>
      <c r="F115" s="233">
        <f>AVERAGE(F108:F113)</f>
        <v>95.959805821651344</v>
      </c>
    </row>
    <row r="116" spans="1:10" ht="27" customHeight="1" x14ac:dyDescent="0.4">
      <c r="A116" s="76" t="s">
        <v>101</v>
      </c>
      <c r="B116" s="108">
        <f>(B115/B114)*(B113/B112)*(B111/B110)*(B109/B108)*B107</f>
        <v>900</v>
      </c>
      <c r="C116" s="186"/>
      <c r="D116" s="210" t="s">
        <v>80</v>
      </c>
      <c r="E116" s="208">
        <f>STDEV(E108:E113)/E115</f>
        <v>2.6543406689467719E-3</v>
      </c>
      <c r="F116" s="187">
        <f>STDEV(F108:F113)/F115</f>
        <v>2.6543406689467607E-3</v>
      </c>
      <c r="I116" s="50"/>
    </row>
    <row r="117" spans="1:10" ht="27" customHeight="1" x14ac:dyDescent="0.4">
      <c r="A117" s="542" t="s">
        <v>75</v>
      </c>
      <c r="B117" s="543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544"/>
      <c r="B118" s="545"/>
      <c r="C118" s="50"/>
      <c r="D118" s="212"/>
      <c r="E118" s="522" t="s">
        <v>125</v>
      </c>
      <c r="F118" s="523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126</v>
      </c>
      <c r="E119" s="215">
        <f>MIN(E108:E113)</f>
        <v>143.32854782204606</v>
      </c>
      <c r="F119" s="234">
        <f>MIN(F108:F113)</f>
        <v>95.552365214697375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127</v>
      </c>
      <c r="E120" s="216">
        <f>MAX(E108:E113)</f>
        <v>144.38074380751149</v>
      </c>
      <c r="F120" s="235">
        <f>MAX(F108:F113)</f>
        <v>96.253829205007662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118</v>
      </c>
      <c r="B124" s="149" t="s">
        <v>102</v>
      </c>
      <c r="C124" s="554" t="str">
        <f>B26</f>
        <v>Lamivudine</v>
      </c>
      <c r="D124" s="554"/>
      <c r="E124" s="150" t="s">
        <v>103</v>
      </c>
      <c r="F124" s="150"/>
      <c r="G124" s="236">
        <f>F115</f>
        <v>95.959805821651344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95.552365214697375</v>
      </c>
      <c r="E125" s="161" t="s">
        <v>130</v>
      </c>
      <c r="F125" s="236">
        <f>MAX(F108:F113)</f>
        <v>96.253829205007662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55" t="s">
        <v>26</v>
      </c>
      <c r="C127" s="555"/>
      <c r="E127" s="156" t="s">
        <v>27</v>
      </c>
      <c r="F127" s="191"/>
      <c r="G127" s="555" t="s">
        <v>28</v>
      </c>
      <c r="H127" s="555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2" t="s">
        <v>45</v>
      </c>
      <c r="B1" s="552"/>
      <c r="C1" s="552"/>
      <c r="D1" s="552"/>
      <c r="E1" s="552"/>
      <c r="F1" s="552"/>
      <c r="G1" s="552"/>
      <c r="H1" s="552"/>
      <c r="I1" s="552"/>
    </row>
    <row r="2" spans="1:9" ht="18.75" customHeight="1" x14ac:dyDescent="0.25">
      <c r="A2" s="552"/>
      <c r="B2" s="552"/>
      <c r="C2" s="552"/>
      <c r="D2" s="552"/>
      <c r="E2" s="552"/>
      <c r="F2" s="552"/>
      <c r="G2" s="552"/>
      <c r="H2" s="552"/>
      <c r="I2" s="552"/>
    </row>
    <row r="3" spans="1:9" ht="18.75" customHeight="1" x14ac:dyDescent="0.25">
      <c r="A3" s="552"/>
      <c r="B3" s="552"/>
      <c r="C3" s="552"/>
      <c r="D3" s="552"/>
      <c r="E3" s="552"/>
      <c r="F3" s="552"/>
      <c r="G3" s="552"/>
      <c r="H3" s="552"/>
      <c r="I3" s="552"/>
    </row>
    <row r="4" spans="1:9" ht="18.75" customHeight="1" x14ac:dyDescent="0.25">
      <c r="A4" s="552"/>
      <c r="B4" s="552"/>
      <c r="C4" s="552"/>
      <c r="D4" s="552"/>
      <c r="E4" s="552"/>
      <c r="F4" s="552"/>
      <c r="G4" s="552"/>
      <c r="H4" s="552"/>
      <c r="I4" s="552"/>
    </row>
    <row r="5" spans="1:9" ht="18.75" customHeight="1" x14ac:dyDescent="0.25">
      <c r="A5" s="552"/>
      <c r="B5" s="552"/>
      <c r="C5" s="552"/>
      <c r="D5" s="552"/>
      <c r="E5" s="552"/>
      <c r="F5" s="552"/>
      <c r="G5" s="552"/>
      <c r="H5" s="552"/>
      <c r="I5" s="552"/>
    </row>
    <row r="6" spans="1:9" ht="18.75" customHeight="1" x14ac:dyDescent="0.25">
      <c r="A6" s="552"/>
      <c r="B6" s="552"/>
      <c r="C6" s="552"/>
      <c r="D6" s="552"/>
      <c r="E6" s="552"/>
      <c r="F6" s="552"/>
      <c r="G6" s="552"/>
      <c r="H6" s="552"/>
      <c r="I6" s="552"/>
    </row>
    <row r="7" spans="1:9" ht="18.75" customHeight="1" x14ac:dyDescent="0.25">
      <c r="A7" s="552"/>
      <c r="B7" s="552"/>
      <c r="C7" s="552"/>
      <c r="D7" s="552"/>
      <c r="E7" s="552"/>
      <c r="F7" s="552"/>
      <c r="G7" s="552"/>
      <c r="H7" s="552"/>
      <c r="I7" s="552"/>
    </row>
    <row r="8" spans="1:9" x14ac:dyDescent="0.25">
      <c r="A8" s="553" t="s">
        <v>46</v>
      </c>
      <c r="B8" s="553"/>
      <c r="C8" s="553"/>
      <c r="D8" s="553"/>
      <c r="E8" s="553"/>
      <c r="F8" s="553"/>
      <c r="G8" s="553"/>
      <c r="H8" s="553"/>
      <c r="I8" s="553"/>
    </row>
    <row r="9" spans="1:9" x14ac:dyDescent="0.25">
      <c r="A9" s="553"/>
      <c r="B9" s="553"/>
      <c r="C9" s="553"/>
      <c r="D9" s="553"/>
      <c r="E9" s="553"/>
      <c r="F9" s="553"/>
      <c r="G9" s="553"/>
      <c r="H9" s="553"/>
      <c r="I9" s="553"/>
    </row>
    <row r="10" spans="1:9" x14ac:dyDescent="0.25">
      <c r="A10" s="553"/>
      <c r="B10" s="553"/>
      <c r="C10" s="553"/>
      <c r="D10" s="553"/>
      <c r="E10" s="553"/>
      <c r="F10" s="553"/>
      <c r="G10" s="553"/>
      <c r="H10" s="553"/>
      <c r="I10" s="553"/>
    </row>
    <row r="11" spans="1:9" x14ac:dyDescent="0.25">
      <c r="A11" s="553"/>
      <c r="B11" s="553"/>
      <c r="C11" s="553"/>
      <c r="D11" s="553"/>
      <c r="E11" s="553"/>
      <c r="F11" s="553"/>
      <c r="G11" s="553"/>
      <c r="H11" s="553"/>
      <c r="I11" s="553"/>
    </row>
    <row r="12" spans="1:9" x14ac:dyDescent="0.25">
      <c r="A12" s="553"/>
      <c r="B12" s="553"/>
      <c r="C12" s="553"/>
      <c r="D12" s="553"/>
      <c r="E12" s="553"/>
      <c r="F12" s="553"/>
      <c r="G12" s="553"/>
      <c r="H12" s="553"/>
      <c r="I12" s="553"/>
    </row>
    <row r="13" spans="1:9" x14ac:dyDescent="0.25">
      <c r="A13" s="553"/>
      <c r="B13" s="553"/>
      <c r="C13" s="553"/>
      <c r="D13" s="553"/>
      <c r="E13" s="553"/>
      <c r="F13" s="553"/>
      <c r="G13" s="553"/>
      <c r="H13" s="553"/>
      <c r="I13" s="553"/>
    </row>
    <row r="14" spans="1:9" x14ac:dyDescent="0.25">
      <c r="A14" s="553"/>
      <c r="B14" s="553"/>
      <c r="C14" s="553"/>
      <c r="D14" s="553"/>
      <c r="E14" s="553"/>
      <c r="F14" s="553"/>
      <c r="G14" s="553"/>
      <c r="H14" s="553"/>
      <c r="I14" s="553"/>
    </row>
    <row r="15" spans="1:9" ht="19.5" customHeight="1" x14ac:dyDescent="0.3">
      <c r="A15" s="237"/>
    </row>
    <row r="16" spans="1:9" ht="19.5" customHeight="1" x14ac:dyDescent="0.3">
      <c r="A16" s="525" t="s">
        <v>31</v>
      </c>
      <c r="B16" s="526"/>
      <c r="C16" s="526"/>
      <c r="D16" s="526"/>
      <c r="E16" s="526"/>
      <c r="F16" s="526"/>
      <c r="G16" s="526"/>
      <c r="H16" s="527"/>
    </row>
    <row r="17" spans="1:14" ht="20.25" customHeight="1" x14ac:dyDescent="0.25">
      <c r="A17" s="528" t="s">
        <v>47</v>
      </c>
      <c r="B17" s="528"/>
      <c r="C17" s="528"/>
      <c r="D17" s="528"/>
      <c r="E17" s="528"/>
      <c r="F17" s="528"/>
      <c r="G17" s="528"/>
      <c r="H17" s="528"/>
    </row>
    <row r="18" spans="1:14" ht="26.25" customHeight="1" x14ac:dyDescent="0.4">
      <c r="A18" s="239" t="s">
        <v>33</v>
      </c>
      <c r="B18" s="524" t="s">
        <v>142</v>
      </c>
      <c r="C18" s="524"/>
      <c r="D18" s="385"/>
      <c r="E18" s="240"/>
      <c r="F18" s="241"/>
      <c r="G18" s="241"/>
      <c r="H18" s="241"/>
    </row>
    <row r="19" spans="1:14" ht="26.25" customHeight="1" x14ac:dyDescent="0.4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35</v>
      </c>
      <c r="B20" s="529" t="s">
        <v>132</v>
      </c>
      <c r="C20" s="529"/>
      <c r="D20" s="241"/>
      <c r="E20" s="241"/>
      <c r="F20" s="241"/>
      <c r="G20" s="241"/>
      <c r="H20" s="241"/>
    </row>
    <row r="21" spans="1:14" ht="26.25" customHeight="1" x14ac:dyDescent="0.4">
      <c r="A21" s="239" t="s">
        <v>36</v>
      </c>
      <c r="B21" s="529" t="s">
        <v>143</v>
      </c>
      <c r="C21" s="529"/>
      <c r="D21" s="529"/>
      <c r="E21" s="529"/>
      <c r="F21" s="529"/>
      <c r="G21" s="529"/>
      <c r="H21" s="529"/>
      <c r="I21" s="243"/>
    </row>
    <row r="22" spans="1:14" ht="26.25" customHeight="1" x14ac:dyDescent="0.4">
      <c r="A22" s="239" t="s">
        <v>37</v>
      </c>
      <c r="B22" s="244">
        <v>42676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38</v>
      </c>
      <c r="B23" s="244">
        <v>42684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524" t="s">
        <v>132</v>
      </c>
      <c r="C26" s="524"/>
    </row>
    <row r="27" spans="1:14" ht="26.25" customHeight="1" x14ac:dyDescent="0.4">
      <c r="A27" s="248" t="s">
        <v>48</v>
      </c>
      <c r="B27" s="530" t="s">
        <v>133</v>
      </c>
      <c r="C27" s="530"/>
    </row>
    <row r="28" spans="1:14" ht="27" customHeight="1" x14ac:dyDescent="0.4">
      <c r="A28" s="248" t="s">
        <v>6</v>
      </c>
      <c r="B28" s="249">
        <v>99</v>
      </c>
    </row>
    <row r="29" spans="1:14" s="3" customFormat="1" ht="27" customHeight="1" x14ac:dyDescent="0.4">
      <c r="A29" s="248" t="s">
        <v>49</v>
      </c>
      <c r="B29" s="250">
        <v>0</v>
      </c>
      <c r="C29" s="531" t="s">
        <v>89</v>
      </c>
      <c r="D29" s="532"/>
      <c r="E29" s="532"/>
      <c r="F29" s="532"/>
      <c r="G29" s="533"/>
      <c r="I29" s="251"/>
      <c r="J29" s="251"/>
      <c r="K29" s="251"/>
      <c r="L29" s="251"/>
    </row>
    <row r="30" spans="1:14" s="3" customFormat="1" ht="19.5" customHeight="1" x14ac:dyDescent="0.3">
      <c r="A30" s="248" t="s">
        <v>50</v>
      </c>
      <c r="B30" s="252">
        <f>B28-B29</f>
        <v>99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51</v>
      </c>
      <c r="B31" s="255">
        <v>1</v>
      </c>
      <c r="C31" s="534" t="s">
        <v>52</v>
      </c>
      <c r="D31" s="535"/>
      <c r="E31" s="535"/>
      <c r="F31" s="535"/>
      <c r="G31" s="535"/>
      <c r="H31" s="536"/>
      <c r="I31" s="251"/>
      <c r="J31" s="251"/>
      <c r="K31" s="251"/>
      <c r="L31" s="251"/>
    </row>
    <row r="32" spans="1:14" s="3" customFormat="1" ht="27" customHeight="1" x14ac:dyDescent="0.4">
      <c r="A32" s="248" t="s">
        <v>53</v>
      </c>
      <c r="B32" s="255">
        <v>1</v>
      </c>
      <c r="C32" s="534" t="s">
        <v>54</v>
      </c>
      <c r="D32" s="535"/>
      <c r="E32" s="535"/>
      <c r="F32" s="535"/>
      <c r="G32" s="535"/>
      <c r="H32" s="536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55</v>
      </c>
      <c r="B34" s="260">
        <f>B31/B32</f>
        <v>1</v>
      </c>
      <c r="C34" s="238" t="s">
        <v>56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104</v>
      </c>
      <c r="B36" s="262">
        <v>100</v>
      </c>
      <c r="C36" s="238"/>
      <c r="D36" s="537" t="s">
        <v>57</v>
      </c>
      <c r="E36" s="538"/>
      <c r="F36" s="537" t="s">
        <v>58</v>
      </c>
      <c r="G36" s="539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59</v>
      </c>
      <c r="B37" s="264">
        <v>1</v>
      </c>
      <c r="C37" s="265" t="s">
        <v>60</v>
      </c>
      <c r="D37" s="266" t="s">
        <v>61</v>
      </c>
      <c r="E37" s="267" t="s">
        <v>62</v>
      </c>
      <c r="F37" s="266" t="s">
        <v>61</v>
      </c>
      <c r="G37" s="268" t="s">
        <v>62</v>
      </c>
      <c r="I37" s="269" t="s">
        <v>105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63</v>
      </c>
      <c r="B38" s="264">
        <v>1</v>
      </c>
      <c r="C38" s="270">
        <v>1</v>
      </c>
      <c r="D38" s="271">
        <v>49295769</v>
      </c>
      <c r="E38" s="272">
        <f>IF(ISBLANK(D38),"-",$D$48/$D$45*D38)</f>
        <v>53160540.278227113</v>
      </c>
      <c r="F38" s="271">
        <v>46732666</v>
      </c>
      <c r="G38" s="273">
        <f>IF(ISBLANK(F38),"-",$D$48/$F$45*F38)</f>
        <v>52999303.665396482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64</v>
      </c>
      <c r="B39" s="264">
        <v>1</v>
      </c>
      <c r="C39" s="275">
        <v>2</v>
      </c>
      <c r="D39" s="276">
        <v>49283380</v>
      </c>
      <c r="E39" s="277">
        <f>IF(ISBLANK(D39),"-",$D$48/$D$45*D39)</f>
        <v>53147179.984902404</v>
      </c>
      <c r="F39" s="276">
        <v>47115358</v>
      </c>
      <c r="G39" s="278">
        <f>IF(ISBLANK(F39),"-",$D$48/$F$45*F39)</f>
        <v>53433312.919615321</v>
      </c>
      <c r="I39" s="541">
        <f>ABS((F43/D43*D42)-F42)/D42</f>
        <v>1.0391800548410974E-3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65</v>
      </c>
      <c r="B40" s="264">
        <v>1</v>
      </c>
      <c r="C40" s="275">
        <v>3</v>
      </c>
      <c r="D40" s="276">
        <v>49686735</v>
      </c>
      <c r="E40" s="277">
        <f>IF(ISBLANK(D40),"-",$D$48/$D$45*D40)</f>
        <v>53582157.877709478</v>
      </c>
      <c r="F40" s="276">
        <v>46982400</v>
      </c>
      <c r="G40" s="278">
        <f>IF(ISBLANK(F40),"-",$D$48/$F$45*F40)</f>
        <v>53282525.857376158</v>
      </c>
      <c r="I40" s="541"/>
      <c r="L40" s="256"/>
      <c r="M40" s="256"/>
      <c r="N40" s="279"/>
    </row>
    <row r="41" spans="1:14" ht="27" customHeight="1" x14ac:dyDescent="0.4">
      <c r="A41" s="263" t="s">
        <v>66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67</v>
      </c>
      <c r="B42" s="264">
        <v>1</v>
      </c>
      <c r="C42" s="285" t="s">
        <v>68</v>
      </c>
      <c r="D42" s="286">
        <f>AVERAGE(D38:D41)</f>
        <v>49421961.333333336</v>
      </c>
      <c r="E42" s="287">
        <f>AVERAGE(E38:E41)</f>
        <v>53296626.046946324</v>
      </c>
      <c r="F42" s="286">
        <f>AVERAGE(F38:F41)</f>
        <v>46943474.666666664</v>
      </c>
      <c r="G42" s="288">
        <f>AVERAGE(G38:G41)</f>
        <v>53238380.814129323</v>
      </c>
      <c r="H42" s="289"/>
    </row>
    <row r="43" spans="1:14" ht="26.25" customHeight="1" x14ac:dyDescent="0.4">
      <c r="A43" s="263" t="s">
        <v>69</v>
      </c>
      <c r="B43" s="264">
        <v>1</v>
      </c>
      <c r="C43" s="290" t="s">
        <v>106</v>
      </c>
      <c r="D43" s="291">
        <v>28.1</v>
      </c>
      <c r="E43" s="279"/>
      <c r="F43" s="291">
        <v>26.72</v>
      </c>
      <c r="H43" s="289"/>
    </row>
    <row r="44" spans="1:14" ht="26.25" customHeight="1" x14ac:dyDescent="0.4">
      <c r="A44" s="263" t="s">
        <v>71</v>
      </c>
      <c r="B44" s="264">
        <v>1</v>
      </c>
      <c r="C44" s="292" t="s">
        <v>107</v>
      </c>
      <c r="D44" s="293">
        <f>D43*$B$34</f>
        <v>28.1</v>
      </c>
      <c r="E44" s="294"/>
      <c r="F44" s="293">
        <f>F43*$B$34</f>
        <v>26.72</v>
      </c>
      <c r="H44" s="289"/>
    </row>
    <row r="45" spans="1:14" ht="19.5" customHeight="1" x14ac:dyDescent="0.3">
      <c r="A45" s="263" t="s">
        <v>73</v>
      </c>
      <c r="B45" s="295">
        <f>(B44/B43)*(B42/B41)*(B40/B39)*(B38/B37)*B36</f>
        <v>100</v>
      </c>
      <c r="C45" s="292" t="s">
        <v>74</v>
      </c>
      <c r="D45" s="296">
        <f>D44*$B$30/100</f>
        <v>27.819000000000003</v>
      </c>
      <c r="E45" s="297"/>
      <c r="F45" s="296">
        <f>F44*$B$30/100</f>
        <v>26.452799999999996</v>
      </c>
      <c r="H45" s="289"/>
    </row>
    <row r="46" spans="1:14" ht="19.5" customHeight="1" x14ac:dyDescent="0.3">
      <c r="A46" s="542" t="s">
        <v>75</v>
      </c>
      <c r="B46" s="543"/>
      <c r="C46" s="292" t="s">
        <v>76</v>
      </c>
      <c r="D46" s="298">
        <f>D45/$B$45</f>
        <v>0.27819000000000005</v>
      </c>
      <c r="E46" s="299"/>
      <c r="F46" s="300">
        <f>F45/$B$45</f>
        <v>0.26452799999999999</v>
      </c>
      <c r="H46" s="289"/>
    </row>
    <row r="47" spans="1:14" ht="27" customHeight="1" x14ac:dyDescent="0.4">
      <c r="A47" s="544"/>
      <c r="B47" s="545"/>
      <c r="C47" s="301" t="s">
        <v>108</v>
      </c>
      <c r="D47" s="302">
        <v>0.3</v>
      </c>
      <c r="E47" s="303"/>
      <c r="F47" s="299"/>
      <c r="H47" s="289"/>
    </row>
    <row r="48" spans="1:14" ht="18.75" x14ac:dyDescent="0.3">
      <c r="C48" s="304" t="s">
        <v>77</v>
      </c>
      <c r="D48" s="296">
        <f>D47*$B$45</f>
        <v>30</v>
      </c>
      <c r="F48" s="305"/>
      <c r="H48" s="289"/>
    </row>
    <row r="49" spans="1:12" ht="19.5" customHeight="1" x14ac:dyDescent="0.3">
      <c r="C49" s="306" t="s">
        <v>78</v>
      </c>
      <c r="D49" s="307">
        <f>D48/B34</f>
        <v>30</v>
      </c>
      <c r="F49" s="305"/>
      <c r="H49" s="289"/>
    </row>
    <row r="50" spans="1:12" ht="18.75" x14ac:dyDescent="0.3">
      <c r="C50" s="261" t="s">
        <v>79</v>
      </c>
      <c r="D50" s="308">
        <f>AVERAGE(E38:E41,G38:G41)</f>
        <v>53267503.43053782</v>
      </c>
      <c r="F50" s="309"/>
      <c r="H50" s="289"/>
    </row>
    <row r="51" spans="1:12" ht="18.75" x14ac:dyDescent="0.3">
      <c r="C51" s="263" t="s">
        <v>80</v>
      </c>
      <c r="D51" s="310">
        <f>STDEV(E38:E41,G38:G41)/D50</f>
        <v>3.9786356913680994E-3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81</v>
      </c>
    </row>
    <row r="55" spans="1:12" ht="18.75" x14ac:dyDescent="0.3">
      <c r="A55" s="238" t="s">
        <v>82</v>
      </c>
      <c r="B55" s="315" t="str">
        <f>B21</f>
        <v>Each Film Coated Tablet Contains Lamivudine USP 150MG, Nevirapine USP 200MG, Zidovudine USP 300MG</v>
      </c>
    </row>
    <row r="56" spans="1:12" ht="26.25" customHeight="1" x14ac:dyDescent="0.4">
      <c r="A56" s="316" t="s">
        <v>83</v>
      </c>
      <c r="B56" s="317">
        <v>300</v>
      </c>
      <c r="C56" s="238" t="str">
        <f>B20</f>
        <v>Zidovudine</v>
      </c>
      <c r="H56" s="318"/>
    </row>
    <row r="57" spans="1:12" ht="18.75" x14ac:dyDescent="0.3">
      <c r="A57" s="315" t="s">
        <v>84</v>
      </c>
      <c r="B57" s="386">
        <f>Uniformity!C46</f>
        <v>761.87850000000003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109</v>
      </c>
      <c r="B59" s="262">
        <v>200</v>
      </c>
      <c r="C59" s="238"/>
      <c r="D59" s="319" t="s">
        <v>110</v>
      </c>
      <c r="E59" s="320" t="s">
        <v>60</v>
      </c>
      <c r="F59" s="320" t="s">
        <v>61</v>
      </c>
      <c r="G59" s="320" t="s">
        <v>111</v>
      </c>
      <c r="H59" s="265" t="s">
        <v>112</v>
      </c>
      <c r="L59" s="251"/>
    </row>
    <row r="60" spans="1:12" s="3" customFormat="1" ht="26.25" customHeight="1" x14ac:dyDescent="0.4">
      <c r="A60" s="263" t="s">
        <v>113</v>
      </c>
      <c r="B60" s="264">
        <v>4</v>
      </c>
      <c r="C60" s="546" t="s">
        <v>114</v>
      </c>
      <c r="D60" s="549">
        <v>767.49</v>
      </c>
      <c r="E60" s="321">
        <v>1</v>
      </c>
      <c r="F60" s="322">
        <v>52696743</v>
      </c>
      <c r="G60" s="387">
        <f>IF(ISBLANK(F60),"-",(F60/$D$50*$D$47*$B$68)*($B$57/$D$60))</f>
        <v>294.61555888586179</v>
      </c>
      <c r="H60" s="405">
        <f t="shared" ref="H60:H71" si="0">IF(ISBLANK(F60),"-",(G60/$B$56)*100)</f>
        <v>98.205186295287263</v>
      </c>
      <c r="L60" s="251"/>
    </row>
    <row r="61" spans="1:12" s="3" customFormat="1" ht="26.25" customHeight="1" x14ac:dyDescent="0.4">
      <c r="A61" s="263" t="s">
        <v>94</v>
      </c>
      <c r="B61" s="264">
        <v>20</v>
      </c>
      <c r="C61" s="547"/>
      <c r="D61" s="550"/>
      <c r="E61" s="323">
        <v>2</v>
      </c>
      <c r="F61" s="276">
        <v>52620622</v>
      </c>
      <c r="G61" s="388">
        <f>IF(ISBLANK(F61),"-",(F61/$D$50*$D$47*$B$68)*($B$57/$D$60))</f>
        <v>294.18998360964497</v>
      </c>
      <c r="H61" s="406">
        <f t="shared" si="0"/>
        <v>98.063327869881661</v>
      </c>
      <c r="L61" s="251"/>
    </row>
    <row r="62" spans="1:12" s="3" customFormat="1" ht="26.25" customHeight="1" x14ac:dyDescent="0.4">
      <c r="A62" s="263" t="s">
        <v>95</v>
      </c>
      <c r="B62" s="264">
        <v>1</v>
      </c>
      <c r="C62" s="547"/>
      <c r="D62" s="550"/>
      <c r="E62" s="323">
        <v>3</v>
      </c>
      <c r="F62" s="324">
        <v>52421602</v>
      </c>
      <c r="G62" s="388">
        <f>IF(ISBLANK(F62),"-",(F62/$D$50*$D$47*$B$68)*($B$57/$D$60))</f>
        <v>293.07730785035818</v>
      </c>
      <c r="H62" s="406">
        <f t="shared" si="0"/>
        <v>97.692435950119389</v>
      </c>
      <c r="L62" s="251"/>
    </row>
    <row r="63" spans="1:12" ht="27" customHeight="1" x14ac:dyDescent="0.4">
      <c r="A63" s="263" t="s">
        <v>96</v>
      </c>
      <c r="B63" s="264">
        <v>1</v>
      </c>
      <c r="C63" s="548"/>
      <c r="D63" s="551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97</v>
      </c>
      <c r="B64" s="264">
        <v>1</v>
      </c>
      <c r="C64" s="546" t="s">
        <v>115</v>
      </c>
      <c r="D64" s="549">
        <v>761.81</v>
      </c>
      <c r="E64" s="321">
        <v>1</v>
      </c>
      <c r="F64" s="322">
        <v>52604247</v>
      </c>
      <c r="G64" s="387">
        <f>IF(ISBLANK(F64),"-",(F64/$D$50*$D$47*$B$68)*($B$57/$D$64))</f>
        <v>296.29121124937205</v>
      </c>
      <c r="H64" s="405">
        <f t="shared" si="0"/>
        <v>98.763737083124013</v>
      </c>
    </row>
    <row r="65" spans="1:8" ht="26.25" customHeight="1" x14ac:dyDescent="0.4">
      <c r="A65" s="263" t="s">
        <v>98</v>
      </c>
      <c r="B65" s="264">
        <v>1</v>
      </c>
      <c r="C65" s="547"/>
      <c r="D65" s="550"/>
      <c r="E65" s="323">
        <v>2</v>
      </c>
      <c r="F65" s="276">
        <v>52658378</v>
      </c>
      <c r="G65" s="388">
        <f>IF(ISBLANK(F65),"-",(F65/$D$50*$D$47*$B$68)*($B$57/$D$64))</f>
        <v>296.59610183275282</v>
      </c>
      <c r="H65" s="406">
        <f t="shared" si="0"/>
        <v>98.865367277584269</v>
      </c>
    </row>
    <row r="66" spans="1:8" ht="26.25" customHeight="1" x14ac:dyDescent="0.4">
      <c r="A66" s="263" t="s">
        <v>99</v>
      </c>
      <c r="B66" s="264">
        <v>1</v>
      </c>
      <c r="C66" s="547"/>
      <c r="D66" s="550"/>
      <c r="E66" s="323">
        <v>3</v>
      </c>
      <c r="F66" s="276">
        <v>52487743</v>
      </c>
      <c r="G66" s="388">
        <f>IF(ISBLANK(F66),"-",(F66/$D$50*$D$47*$B$68)*($B$57/$D$64))</f>
        <v>295.63500736386828</v>
      </c>
      <c r="H66" s="406">
        <f t="shared" si="0"/>
        <v>98.545002454622761</v>
      </c>
    </row>
    <row r="67" spans="1:8" ht="27" customHeight="1" x14ac:dyDescent="0.4">
      <c r="A67" s="263" t="s">
        <v>100</v>
      </c>
      <c r="B67" s="264">
        <v>1</v>
      </c>
      <c r="C67" s="548"/>
      <c r="D67" s="551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101</v>
      </c>
      <c r="B68" s="327">
        <f>(B67/B66)*(B65/B64)*(B63/B62)*(B61/B60)*B59</f>
        <v>1000</v>
      </c>
      <c r="C68" s="546" t="s">
        <v>116</v>
      </c>
      <c r="D68" s="549">
        <v>777.05</v>
      </c>
      <c r="E68" s="321">
        <v>1</v>
      </c>
      <c r="F68" s="322">
        <v>54419412</v>
      </c>
      <c r="G68" s="387">
        <f>IF(ISBLANK(F68),"-",(F68/$D$50*$D$47*$B$68)*($B$57/$D$68))</f>
        <v>300.50348324185552</v>
      </c>
      <c r="H68" s="406">
        <f t="shared" si="0"/>
        <v>100.16782774728516</v>
      </c>
    </row>
    <row r="69" spans="1:8" ht="27" customHeight="1" x14ac:dyDescent="0.4">
      <c r="A69" s="311" t="s">
        <v>117</v>
      </c>
      <c r="B69" s="328">
        <f>(D47*B68)/B56*B57</f>
        <v>761.87850000000003</v>
      </c>
      <c r="C69" s="547"/>
      <c r="D69" s="550"/>
      <c r="E69" s="323">
        <v>2</v>
      </c>
      <c r="F69" s="276">
        <v>54218453</v>
      </c>
      <c r="G69" s="388">
        <f>IF(ISBLANK(F69),"-",(F69/$D$50*$D$47*$B$68)*($B$57/$D$68))</f>
        <v>299.39378952651731</v>
      </c>
      <c r="H69" s="406">
        <f t="shared" si="0"/>
        <v>99.797929842172437</v>
      </c>
    </row>
    <row r="70" spans="1:8" ht="26.25" customHeight="1" x14ac:dyDescent="0.4">
      <c r="A70" s="559" t="s">
        <v>75</v>
      </c>
      <c r="B70" s="560"/>
      <c r="C70" s="547"/>
      <c r="D70" s="550"/>
      <c r="E70" s="323">
        <v>3</v>
      </c>
      <c r="F70" s="276">
        <v>54274333</v>
      </c>
      <c r="G70" s="388">
        <f>IF(ISBLANK(F70),"-",(F70/$D$50*$D$47*$B$68)*($B$57/$D$68))</f>
        <v>299.70235836301174</v>
      </c>
      <c r="H70" s="406">
        <f t="shared" si="0"/>
        <v>99.900786121003918</v>
      </c>
    </row>
    <row r="71" spans="1:8" ht="27" customHeight="1" x14ac:dyDescent="0.4">
      <c r="A71" s="561"/>
      <c r="B71" s="562"/>
      <c r="C71" s="558"/>
      <c r="D71" s="551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68</v>
      </c>
      <c r="G72" s="393">
        <f>AVERAGE(G60:G71)</f>
        <v>296.6672002136936</v>
      </c>
      <c r="H72" s="408">
        <f>AVERAGE(H60:H71)</f>
        <v>98.889066737897863</v>
      </c>
    </row>
    <row r="73" spans="1:8" ht="26.25" customHeight="1" x14ac:dyDescent="0.4">
      <c r="C73" s="329"/>
      <c r="D73" s="329"/>
      <c r="E73" s="329"/>
      <c r="F73" s="332" t="s">
        <v>80</v>
      </c>
      <c r="G73" s="392">
        <f>STDEV(G60:G71)/G72</f>
        <v>8.9029889618120576E-3</v>
      </c>
      <c r="H73" s="392">
        <f>STDEV(H60:H71)/H72</f>
        <v>8.9029889618120438E-3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7" t="s">
        <v>118</v>
      </c>
      <c r="B76" s="336" t="s">
        <v>85</v>
      </c>
      <c r="C76" s="554" t="str">
        <f>B26</f>
        <v>Zidovudine</v>
      </c>
      <c r="D76" s="554"/>
      <c r="E76" s="337" t="s">
        <v>86</v>
      </c>
      <c r="F76" s="337"/>
      <c r="G76" s="338">
        <f>H72</f>
        <v>98.889066737897863</v>
      </c>
      <c r="H76" s="339"/>
    </row>
    <row r="77" spans="1:8" ht="18.75" x14ac:dyDescent="0.3">
      <c r="A77" s="246" t="s">
        <v>87</v>
      </c>
      <c r="B77" s="246" t="s">
        <v>88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540" t="str">
        <f>B26</f>
        <v>Zidovudine</v>
      </c>
      <c r="C79" s="540"/>
    </row>
    <row r="80" spans="1:8" ht="26.25" customHeight="1" x14ac:dyDescent="0.4">
      <c r="A80" s="248" t="s">
        <v>48</v>
      </c>
      <c r="B80" s="540" t="str">
        <f>B27</f>
        <v>Z1-1</v>
      </c>
      <c r="C80" s="540"/>
    </row>
    <row r="81" spans="1:12" ht="27" customHeight="1" x14ac:dyDescent="0.4">
      <c r="A81" s="248" t="s">
        <v>6</v>
      </c>
      <c r="B81" s="340">
        <f>B28</f>
        <v>99</v>
      </c>
    </row>
    <row r="82" spans="1:12" s="3" customFormat="1" ht="27" customHeight="1" x14ac:dyDescent="0.4">
      <c r="A82" s="248" t="s">
        <v>49</v>
      </c>
      <c r="B82" s="250">
        <v>0</v>
      </c>
      <c r="C82" s="531" t="s">
        <v>89</v>
      </c>
      <c r="D82" s="532"/>
      <c r="E82" s="532"/>
      <c r="F82" s="532"/>
      <c r="G82" s="533"/>
      <c r="I82" s="251"/>
      <c r="J82" s="251"/>
      <c r="K82" s="251"/>
      <c r="L82" s="251"/>
    </row>
    <row r="83" spans="1:12" s="3" customFormat="1" ht="19.5" customHeight="1" x14ac:dyDescent="0.3">
      <c r="A83" s="248" t="s">
        <v>50</v>
      </c>
      <c r="B83" s="252">
        <f>B81-B82</f>
        <v>99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51</v>
      </c>
      <c r="B84" s="255">
        <v>1</v>
      </c>
      <c r="C84" s="534" t="s">
        <v>119</v>
      </c>
      <c r="D84" s="535"/>
      <c r="E84" s="535"/>
      <c r="F84" s="535"/>
      <c r="G84" s="535"/>
      <c r="H84" s="536"/>
      <c r="I84" s="251"/>
      <c r="J84" s="251"/>
      <c r="K84" s="251"/>
      <c r="L84" s="251"/>
    </row>
    <row r="85" spans="1:12" s="3" customFormat="1" ht="27" customHeight="1" x14ac:dyDescent="0.4">
      <c r="A85" s="248" t="s">
        <v>53</v>
      </c>
      <c r="B85" s="255">
        <v>1</v>
      </c>
      <c r="C85" s="534" t="s">
        <v>120</v>
      </c>
      <c r="D85" s="535"/>
      <c r="E85" s="535"/>
      <c r="F85" s="535"/>
      <c r="G85" s="535"/>
      <c r="H85" s="536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55</v>
      </c>
      <c r="B87" s="260">
        <f>B84/B85</f>
        <v>1</v>
      </c>
      <c r="C87" s="238" t="s">
        <v>56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104</v>
      </c>
      <c r="B89" s="262">
        <v>100</v>
      </c>
      <c r="D89" s="341" t="s">
        <v>57</v>
      </c>
      <c r="E89" s="342"/>
      <c r="F89" s="537" t="s">
        <v>58</v>
      </c>
      <c r="G89" s="539"/>
    </row>
    <row r="90" spans="1:12" ht="27" customHeight="1" x14ac:dyDescent="0.4">
      <c r="A90" s="263" t="s">
        <v>59</v>
      </c>
      <c r="B90" s="264">
        <v>1</v>
      </c>
      <c r="C90" s="343" t="s">
        <v>60</v>
      </c>
      <c r="D90" s="266" t="s">
        <v>61</v>
      </c>
      <c r="E90" s="267" t="s">
        <v>62</v>
      </c>
      <c r="F90" s="266" t="s">
        <v>61</v>
      </c>
      <c r="G90" s="344" t="s">
        <v>62</v>
      </c>
      <c r="I90" s="269" t="s">
        <v>105</v>
      </c>
    </row>
    <row r="91" spans="1:12" ht="26.25" customHeight="1" x14ac:dyDescent="0.4">
      <c r="A91" s="263" t="s">
        <v>63</v>
      </c>
      <c r="B91" s="264">
        <v>1</v>
      </c>
      <c r="C91" s="345">
        <v>1</v>
      </c>
      <c r="D91" s="271">
        <v>93430894</v>
      </c>
      <c r="E91" s="272">
        <f>IF(ISBLANK(D91),"-",$D$101/$D$98*D91)</f>
        <v>105706362.45972264</v>
      </c>
      <c r="F91" s="271">
        <v>92087794</v>
      </c>
      <c r="G91" s="273">
        <f>IF(ISBLANK(F91),"-",$D$101/$F$98*F91)</f>
        <v>106003388.87449996</v>
      </c>
      <c r="I91" s="274"/>
    </row>
    <row r="92" spans="1:12" ht="26.25" customHeight="1" x14ac:dyDescent="0.4">
      <c r="A92" s="263" t="s">
        <v>64</v>
      </c>
      <c r="B92" s="264">
        <v>1</v>
      </c>
      <c r="C92" s="330">
        <v>2</v>
      </c>
      <c r="D92" s="276">
        <v>93437543</v>
      </c>
      <c r="E92" s="277">
        <f>IF(ISBLANK(D92),"-",$D$101/$D$98*D92)</f>
        <v>105713885.04217802</v>
      </c>
      <c r="F92" s="276">
        <v>92166388</v>
      </c>
      <c r="G92" s="278">
        <f>IF(ISBLANK(F92),"-",$D$101/$F$98*F92)</f>
        <v>106093859.39163715</v>
      </c>
      <c r="I92" s="541">
        <f>ABS((F96/D96*D95)-F95)/D95</f>
        <v>1.6559882727218078E-3</v>
      </c>
    </row>
    <row r="93" spans="1:12" ht="26.25" customHeight="1" x14ac:dyDescent="0.4">
      <c r="A93" s="263" t="s">
        <v>65</v>
      </c>
      <c r="B93" s="264">
        <v>1</v>
      </c>
      <c r="C93" s="330">
        <v>3</v>
      </c>
      <c r="D93" s="276">
        <v>93935809</v>
      </c>
      <c r="E93" s="277">
        <f>IF(ISBLANK(D93),"-",$D$101/$D$98*D93)</f>
        <v>106277615.98964553</v>
      </c>
      <c r="F93" s="276">
        <v>92202903</v>
      </c>
      <c r="G93" s="278">
        <f>IF(ISBLANK(F93),"-",$D$101/$F$98*F93)</f>
        <v>106135892.25589223</v>
      </c>
      <c r="I93" s="541"/>
    </row>
    <row r="94" spans="1:12" ht="27" customHeight="1" x14ac:dyDescent="0.4">
      <c r="A94" s="263" t="s">
        <v>66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67</v>
      </c>
      <c r="B95" s="264">
        <v>1</v>
      </c>
      <c r="C95" s="348" t="s">
        <v>68</v>
      </c>
      <c r="D95" s="349">
        <f>AVERAGE(D91:D94)</f>
        <v>93601415.333333328</v>
      </c>
      <c r="E95" s="287">
        <f>AVERAGE(E91:E94)</f>
        <v>105899287.8305154</v>
      </c>
      <c r="F95" s="350">
        <f>AVERAGE(F91:F94)</f>
        <v>92152361.666666672</v>
      </c>
      <c r="G95" s="351">
        <f>AVERAGE(G91:G94)</f>
        <v>106077713.50734311</v>
      </c>
    </row>
    <row r="96" spans="1:12" ht="26.25" customHeight="1" x14ac:dyDescent="0.4">
      <c r="A96" s="263" t="s">
        <v>69</v>
      </c>
      <c r="B96" s="249">
        <v>1</v>
      </c>
      <c r="C96" s="352" t="s">
        <v>70</v>
      </c>
      <c r="D96" s="353">
        <v>29.76</v>
      </c>
      <c r="E96" s="279"/>
      <c r="F96" s="291">
        <v>29.25</v>
      </c>
    </row>
    <row r="97" spans="1:10" ht="26.25" customHeight="1" x14ac:dyDescent="0.4">
      <c r="A97" s="263" t="s">
        <v>71</v>
      </c>
      <c r="B97" s="249">
        <v>1</v>
      </c>
      <c r="C97" s="354" t="s">
        <v>72</v>
      </c>
      <c r="D97" s="355">
        <f>D96*$B$87</f>
        <v>29.76</v>
      </c>
      <c r="E97" s="294"/>
      <c r="F97" s="293">
        <f>F96*$B$87</f>
        <v>29.25</v>
      </c>
    </row>
    <row r="98" spans="1:10" ht="19.5" customHeight="1" x14ac:dyDescent="0.3">
      <c r="A98" s="263" t="s">
        <v>73</v>
      </c>
      <c r="B98" s="356">
        <f>(B97/B96)*(B95/B94)*(B93/B92)*(B91/B90)*B89</f>
        <v>100</v>
      </c>
      <c r="C98" s="354" t="s">
        <v>121</v>
      </c>
      <c r="D98" s="357">
        <f>D97*$B$83/100</f>
        <v>29.462400000000002</v>
      </c>
      <c r="E98" s="297"/>
      <c r="F98" s="296">
        <f>F97*$B$83/100</f>
        <v>28.9575</v>
      </c>
    </row>
    <row r="99" spans="1:10" ht="19.5" customHeight="1" x14ac:dyDescent="0.3">
      <c r="A99" s="542" t="s">
        <v>75</v>
      </c>
      <c r="B99" s="556"/>
      <c r="C99" s="354" t="s">
        <v>122</v>
      </c>
      <c r="D99" s="358">
        <f>D98/$B$98</f>
        <v>0.294624</v>
      </c>
      <c r="E99" s="297"/>
      <c r="F99" s="300">
        <f>F98/$B$98</f>
        <v>0.28957499999999997</v>
      </c>
      <c r="G99" s="359"/>
      <c r="H99" s="289"/>
    </row>
    <row r="100" spans="1:10" ht="19.5" customHeight="1" x14ac:dyDescent="0.3">
      <c r="A100" s="544"/>
      <c r="B100" s="557"/>
      <c r="C100" s="354" t="s">
        <v>108</v>
      </c>
      <c r="D100" s="360">
        <f>$B$56/$B$116</f>
        <v>0.33333333333333331</v>
      </c>
      <c r="F100" s="305"/>
      <c r="G100" s="361"/>
      <c r="H100" s="289"/>
    </row>
    <row r="101" spans="1:10" ht="18.75" x14ac:dyDescent="0.3">
      <c r="C101" s="354" t="s">
        <v>77</v>
      </c>
      <c r="D101" s="355">
        <f>D100*$B$98</f>
        <v>33.333333333333329</v>
      </c>
      <c r="F101" s="305"/>
      <c r="G101" s="359"/>
      <c r="H101" s="289"/>
    </row>
    <row r="102" spans="1:10" ht="19.5" customHeight="1" x14ac:dyDescent="0.3">
      <c r="C102" s="362" t="s">
        <v>78</v>
      </c>
      <c r="D102" s="363">
        <f>D101/B34</f>
        <v>33.333333333333329</v>
      </c>
      <c r="F102" s="309"/>
      <c r="G102" s="359"/>
      <c r="H102" s="289"/>
      <c r="J102" s="364"/>
    </row>
    <row r="103" spans="1:10" ht="18.75" x14ac:dyDescent="0.3">
      <c r="C103" s="365" t="s">
        <v>123</v>
      </c>
      <c r="D103" s="366">
        <f>AVERAGE(E91:E94,G91:G94)</f>
        <v>105988500.66892926</v>
      </c>
      <c r="F103" s="309"/>
      <c r="G103" s="367"/>
      <c r="H103" s="289"/>
      <c r="J103" s="368"/>
    </row>
    <row r="104" spans="1:10" ht="18.75" x14ac:dyDescent="0.3">
      <c r="C104" s="332" t="s">
        <v>80</v>
      </c>
      <c r="D104" s="369">
        <f>STDEV(E91:E94,G91:G94)/D103</f>
        <v>2.1991807606291545E-3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90</v>
      </c>
      <c r="B107" s="262">
        <v>900</v>
      </c>
      <c r="C107" s="409" t="s">
        <v>124</v>
      </c>
      <c r="D107" s="409" t="s">
        <v>61</v>
      </c>
      <c r="E107" s="409" t="s">
        <v>91</v>
      </c>
      <c r="F107" s="371" t="s">
        <v>92</v>
      </c>
    </row>
    <row r="108" spans="1:10" ht="26.25" customHeight="1" x14ac:dyDescent="0.4">
      <c r="A108" s="263" t="s">
        <v>93</v>
      </c>
      <c r="B108" s="264">
        <v>1</v>
      </c>
      <c r="C108" s="414">
        <v>1</v>
      </c>
      <c r="D108" s="415">
        <v>101773497</v>
      </c>
      <c r="E108" s="389">
        <f t="shared" ref="E108:E113" si="1">IF(ISBLANK(D108),"-",D108/$D$103*$D$100*$B$116)</f>
        <v>288.06945005639204</v>
      </c>
      <c r="F108" s="416">
        <f t="shared" ref="F108:F113" si="2">IF(ISBLANK(D108), "-", (E108/$B$56)*100)</f>
        <v>96.023150018797338</v>
      </c>
    </row>
    <row r="109" spans="1:10" ht="26.25" customHeight="1" x14ac:dyDescent="0.4">
      <c r="A109" s="263" t="s">
        <v>94</v>
      </c>
      <c r="B109" s="264">
        <v>1</v>
      </c>
      <c r="C109" s="410">
        <v>2</v>
      </c>
      <c r="D109" s="412">
        <v>103342471</v>
      </c>
      <c r="E109" s="390">
        <f t="shared" si="1"/>
        <v>292.51042428500466</v>
      </c>
      <c r="F109" s="417">
        <f t="shared" si="2"/>
        <v>97.503474761668215</v>
      </c>
    </row>
    <row r="110" spans="1:10" ht="26.25" customHeight="1" x14ac:dyDescent="0.4">
      <c r="A110" s="263" t="s">
        <v>95</v>
      </c>
      <c r="B110" s="264">
        <v>1</v>
      </c>
      <c r="C110" s="410">
        <v>3</v>
      </c>
      <c r="D110" s="412">
        <v>103808616</v>
      </c>
      <c r="E110" s="390">
        <f t="shared" si="1"/>
        <v>293.82984572334374</v>
      </c>
      <c r="F110" s="417">
        <f t="shared" si="2"/>
        <v>97.943281907781241</v>
      </c>
    </row>
    <row r="111" spans="1:10" ht="26.25" customHeight="1" x14ac:dyDescent="0.4">
      <c r="A111" s="263" t="s">
        <v>96</v>
      </c>
      <c r="B111" s="264">
        <v>1</v>
      </c>
      <c r="C111" s="410">
        <v>4</v>
      </c>
      <c r="D111" s="412">
        <v>101067790</v>
      </c>
      <c r="E111" s="390">
        <f t="shared" si="1"/>
        <v>286.07194939675622</v>
      </c>
      <c r="F111" s="417">
        <f t="shared" si="2"/>
        <v>95.357316465585413</v>
      </c>
    </row>
    <row r="112" spans="1:10" ht="26.25" customHeight="1" x14ac:dyDescent="0.4">
      <c r="A112" s="263" t="s">
        <v>97</v>
      </c>
      <c r="B112" s="264">
        <v>1</v>
      </c>
      <c r="C112" s="410">
        <v>5</v>
      </c>
      <c r="D112" s="412">
        <v>103305975</v>
      </c>
      <c r="E112" s="390">
        <f t="shared" si="1"/>
        <v>292.40712251235101</v>
      </c>
      <c r="F112" s="417">
        <f t="shared" si="2"/>
        <v>97.469040837450336</v>
      </c>
    </row>
    <row r="113" spans="1:10" ht="27" customHeight="1" x14ac:dyDescent="0.4">
      <c r="A113" s="263" t="s">
        <v>98</v>
      </c>
      <c r="B113" s="264">
        <v>1</v>
      </c>
      <c r="C113" s="411">
        <v>6</v>
      </c>
      <c r="D113" s="413">
        <v>103676931</v>
      </c>
      <c r="E113" s="391">
        <f t="shared" si="1"/>
        <v>293.45711189136512</v>
      </c>
      <c r="F113" s="418">
        <f t="shared" si="2"/>
        <v>97.819037297121696</v>
      </c>
    </row>
    <row r="114" spans="1:10" ht="27" customHeight="1" x14ac:dyDescent="0.4">
      <c r="A114" s="263" t="s">
        <v>99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100</v>
      </c>
      <c r="B115" s="264">
        <v>1</v>
      </c>
      <c r="C115" s="372"/>
      <c r="D115" s="396" t="s">
        <v>68</v>
      </c>
      <c r="E115" s="398">
        <f>AVERAGE(E108:E113)</f>
        <v>291.05765064420211</v>
      </c>
      <c r="F115" s="420">
        <f>AVERAGE(F108:F113)</f>
        <v>97.019216881400709</v>
      </c>
    </row>
    <row r="116" spans="1:10" ht="27" customHeight="1" x14ac:dyDescent="0.4">
      <c r="A116" s="263" t="s">
        <v>101</v>
      </c>
      <c r="B116" s="295">
        <f>(B115/B114)*(B113/B112)*(B111/B110)*(B109/B108)*B107</f>
        <v>900</v>
      </c>
      <c r="C116" s="373"/>
      <c r="D116" s="397" t="s">
        <v>80</v>
      </c>
      <c r="E116" s="395">
        <f>STDEV(E108:E113)/E115</f>
        <v>1.0990161367649473E-2</v>
      </c>
      <c r="F116" s="374">
        <f>STDEV(F108:F113)/F115</f>
        <v>1.0990161367649447E-2</v>
      </c>
      <c r="I116" s="237"/>
    </row>
    <row r="117" spans="1:10" ht="27" customHeight="1" x14ac:dyDescent="0.4">
      <c r="A117" s="542" t="s">
        <v>75</v>
      </c>
      <c r="B117" s="543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544"/>
      <c r="B118" s="545"/>
      <c r="C118" s="237"/>
      <c r="D118" s="399"/>
      <c r="E118" s="522" t="s">
        <v>125</v>
      </c>
      <c r="F118" s="523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126</v>
      </c>
      <c r="E119" s="402">
        <f>MIN(E108:E113)</f>
        <v>286.07194939675622</v>
      </c>
      <c r="F119" s="421">
        <f>MIN(F108:F113)</f>
        <v>95.357316465585413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127</v>
      </c>
      <c r="E120" s="403">
        <f>MAX(E108:E113)</f>
        <v>293.82984572334374</v>
      </c>
      <c r="F120" s="422">
        <f>MAX(F108:F113)</f>
        <v>97.943281907781241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118</v>
      </c>
      <c r="B124" s="336" t="s">
        <v>102</v>
      </c>
      <c r="C124" s="554" t="str">
        <f>B26</f>
        <v>Zidovudine</v>
      </c>
      <c r="D124" s="554"/>
      <c r="E124" s="337" t="s">
        <v>103</v>
      </c>
      <c r="F124" s="337"/>
      <c r="G124" s="423">
        <f>F115</f>
        <v>97.019216881400709</v>
      </c>
      <c r="H124" s="237"/>
      <c r="I124" s="237"/>
    </row>
    <row r="125" spans="1:10" ht="45.75" customHeight="1" x14ac:dyDescent="0.65">
      <c r="A125" s="247"/>
      <c r="B125" s="336" t="s">
        <v>128</v>
      </c>
      <c r="C125" s="248" t="s">
        <v>129</v>
      </c>
      <c r="D125" s="423">
        <f>MIN(F108:F113)</f>
        <v>95.357316465585413</v>
      </c>
      <c r="E125" s="348" t="s">
        <v>130</v>
      </c>
      <c r="F125" s="423">
        <f>MAX(F108:F113)</f>
        <v>97.943281907781241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555" t="s">
        <v>26</v>
      </c>
      <c r="C127" s="555"/>
      <c r="E127" s="343" t="s">
        <v>27</v>
      </c>
      <c r="F127" s="378"/>
      <c r="G127" s="555" t="s">
        <v>28</v>
      </c>
      <c r="H127" s="555"/>
    </row>
    <row r="128" spans="1:10" ht="69.95" customHeight="1" x14ac:dyDescent="0.3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Lam</vt:lpstr>
      <vt:lpstr>SST Zido</vt:lpstr>
      <vt:lpstr>Uniformity</vt:lpstr>
      <vt:lpstr>Lamivudine</vt:lpstr>
      <vt:lpstr>Zidovudine</vt:lpstr>
      <vt:lpstr>Lamivudine!Print_Area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HPLC2_NQCL</cp:lastModifiedBy>
  <cp:lastPrinted>2016-11-14T09:53:54Z</cp:lastPrinted>
  <dcterms:created xsi:type="dcterms:W3CDTF">2005-07-05T10:19:27Z</dcterms:created>
  <dcterms:modified xsi:type="dcterms:W3CDTF">2016-11-14T09:54:00Z</dcterms:modified>
</cp:coreProperties>
</file>