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FLUCONAZOLE" sheetId="3" r:id="rId3"/>
  </sheets>
  <definedNames>
    <definedName name="_xlnm.Print_Area" localSheetId="2">FLUCONAZOLE!$A$1:$I$129</definedName>
    <definedName name="_xlnm.Print_Area" localSheetId="0">SST!$A$15:$G$61</definedName>
    <definedName name="_xlnm.Print_Area" localSheetId="1">Uniformity!$A$12:$F$54</definedName>
  </definedNames>
  <calcPr calcId="144525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B30" i="3"/>
  <c r="D50" i="2"/>
  <c r="C50" i="2"/>
  <c r="B49" i="2"/>
  <c r="C46" i="2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F98" i="3"/>
  <c r="G94" i="3" s="1"/>
  <c r="I39" i="3"/>
  <c r="F44" i="3"/>
  <c r="F45" i="3" s="1"/>
  <c r="D45" i="3"/>
  <c r="D46" i="3" s="1"/>
  <c r="D49" i="3"/>
  <c r="B69" i="3"/>
  <c r="D98" i="3"/>
  <c r="E94" i="3" s="1"/>
  <c r="B57" i="3"/>
  <c r="D49" i="2"/>
  <c r="D40" i="2"/>
  <c r="D36" i="2"/>
  <c r="D32" i="2"/>
  <c r="D28" i="2"/>
  <c r="D24" i="2"/>
  <c r="D39" i="2"/>
  <c r="D31" i="2"/>
  <c r="C49" i="2"/>
  <c r="D43" i="2"/>
  <c r="D35" i="2"/>
  <c r="D27" i="2"/>
  <c r="E91" i="3" l="1"/>
  <c r="E92" i="3"/>
  <c r="G92" i="3"/>
  <c r="G91" i="3"/>
  <c r="F99" i="3"/>
  <c r="G93" i="3"/>
  <c r="E38" i="3"/>
  <c r="F46" i="3"/>
  <c r="G41" i="3"/>
  <c r="G39" i="3"/>
  <c r="E41" i="3"/>
  <c r="E40" i="3"/>
  <c r="E39" i="3"/>
  <c r="G38" i="3"/>
  <c r="G40" i="3"/>
  <c r="D99" i="3"/>
  <c r="E93" i="3"/>
  <c r="G95" i="3" l="1"/>
  <c r="D105" i="3"/>
  <c r="E42" i="3"/>
  <c r="D50" i="3"/>
  <c r="G71" i="3" s="1"/>
  <c r="H71" i="3" s="1"/>
  <c r="D52" i="3"/>
  <c r="G42" i="3"/>
  <c r="D103" i="3"/>
  <c r="E112" i="3" s="1"/>
  <c r="F112" i="3" s="1"/>
  <c r="E95" i="3"/>
  <c r="D104" i="3" l="1"/>
  <c r="E113" i="3"/>
  <c r="F113" i="3" s="1"/>
  <c r="E109" i="3"/>
  <c r="F109" i="3" s="1"/>
  <c r="E108" i="3"/>
  <c r="F108" i="3" s="1"/>
  <c r="E110" i="3"/>
  <c r="F110" i="3" s="1"/>
  <c r="G61" i="3"/>
  <c r="H61" i="3" s="1"/>
  <c r="G64" i="3"/>
  <c r="H64" i="3" s="1"/>
  <c r="G65" i="3"/>
  <c r="H65" i="3" s="1"/>
  <c r="D51" i="3"/>
  <c r="G60" i="3"/>
  <c r="H60" i="3" s="1"/>
  <c r="G67" i="3"/>
  <c r="H67" i="3" s="1"/>
  <c r="G69" i="3"/>
  <c r="H69" i="3" s="1"/>
  <c r="G62" i="3"/>
  <c r="H62" i="3" s="1"/>
  <c r="G70" i="3"/>
  <c r="H70" i="3" s="1"/>
  <c r="G68" i="3"/>
  <c r="H68" i="3" s="1"/>
  <c r="G66" i="3"/>
  <c r="H66" i="3" s="1"/>
  <c r="G63" i="3"/>
  <c r="H63" i="3" s="1"/>
  <c r="E111" i="3"/>
  <c r="F111" i="3" s="1"/>
  <c r="G72" i="3" l="1"/>
  <c r="G73" i="3" s="1"/>
  <c r="G74" i="3"/>
  <c r="E117" i="3"/>
  <c r="E119" i="3"/>
  <c r="E120" i="3"/>
  <c r="E115" i="3"/>
  <c r="E116" i="3" s="1"/>
  <c r="H74" i="3"/>
  <c r="H72" i="3"/>
  <c r="F119" i="3"/>
  <c r="F125" i="3"/>
  <c r="F120" i="3"/>
  <c r="F117" i="3"/>
  <c r="D125" i="3"/>
  <c r="F115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<sst xmlns="http://schemas.openxmlformats.org/spreadsheetml/2006/main" count="238" uniqueCount="135">
  <si>
    <t>HPLC System Suitability Report</t>
  </si>
  <si>
    <t>Analysis Data</t>
  </si>
  <si>
    <t>Assay</t>
  </si>
  <si>
    <t>Sample(s)</t>
  </si>
  <si>
    <t>Reference Substance:</t>
  </si>
  <si>
    <t>FLUCONAZOLE 200 MG TABLETS</t>
  </si>
  <si>
    <t>% age Purity:</t>
  </si>
  <si>
    <t>NDQB201609139</t>
  </si>
  <si>
    <t>Weight (mg):</t>
  </si>
  <si>
    <t>Fluconazole USP</t>
  </si>
  <si>
    <t>Standard Conc (mg/mL):</t>
  </si>
  <si>
    <t>Each tablet contains Fluconazole USP. 200mg</t>
  </si>
  <si>
    <t>2016-09-30 14:50:22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</si>
  <si>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</si>
  <si>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</si>
  <si>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</si>
  <si>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</si>
  <si>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</si>
  <si>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</si>
  <si>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</si>
  <si>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</si>
  <si>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</si>
  <si>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</si>
  <si>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</si>
  <si>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</si>
  <si>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</si>
  <si>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</si>
  <si>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</si>
  <si>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</si>
  <si>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</si>
  <si>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</si>
  <si>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</si>
  <si>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</si>
  <si>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</si>
  <si>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</si>
  <si>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</si>
  <si>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</si>
  <si>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</si>
  <si>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</si>
  <si>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</si>
  <si>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</si>
  <si>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</si>
  <si>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</si>
  <si>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</si>
  <si>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</si>
  <si>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</si>
  <si>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</si>
  <si>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</si>
  <si>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</si>
  <si>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</si>
  <si>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</si>
  <si>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</si>
  <si>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</si>
  <si>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</si>
  <si>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</si>
  <si>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</si>
  <si>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</si>
  <si>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</si>
  <si>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</si>
  <si>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</si>
  <si>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</si>
  <si>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</si>
  <si>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</si>
  <si>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</si>
  <si>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</si>
  <si>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</si>
  <si>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</si>
  <si>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</si>
  <si>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</si>
  <si>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</si>
  <si>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</si>
  <si>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</si>
  <si>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</si>
  <si>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</si>
  <si>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</si>
  <si>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</si>
  <si>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</si>
  <si>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</si>
  <si>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</si>
  <si>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</si>
  <si>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</si>
  <si>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</si>
  <si>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</si>
  <si>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</si>
  <si>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</si>
  <si>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</si>
  <si>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</si>
  <si>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</si>
  <si>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</si>
  <si>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</si>
  <si>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</si>
  <si>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</si>
  <si>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</si>
  <si>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</si>
  <si>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</si>
  <si>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</si>
  <si>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</si>
  <si>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</si>
  <si>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</si>
  <si>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</si>
  <si>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</si>
  <si>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</si>
  <si>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</si>
  <si>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</si>
  <si>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</si>
  <si>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</si>
  <si>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</si>
  <si>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</si>
  <si>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</si>
  <si>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</si>
  <si>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</si>
  <si>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</si>
  <si>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</si>
  <si>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</si>
  <si>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</si>
  <si>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</si>
  <si>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</si>
  <si>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</si>
  <si>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</si>
  <si>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</si>
  <si>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</si>
  <si>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</si>
  <si>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</si>
  <si>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</si>
  <si>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</si>
  <si>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</si>
  <si>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</si>
  <si>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</si>
  <si>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</si>
  <si>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The Assymetry of all peaks is NMT 3.0</t>
  </si>
  <si>
    <t>The number of Theoretical Plates (USP) for all peaks is NLT 1100</t>
  </si>
  <si>
    <t>RUTTO</t>
  </si>
  <si>
    <t>Fluconazole</t>
  </si>
  <si>
    <t>F1-9</t>
  </si>
  <si>
    <t xml:space="preserve">Fluconazole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</si>
</sst>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C18" sqref="C1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10.7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10.7/50</f>
        <v>0.214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7679182</v>
      </c>
      <c r="C24" s="18">
        <v>8271.2999999999993</v>
      </c>
      <c r="D24" s="19">
        <v>1.1000000000000001</v>
      </c>
      <c r="E24" s="20">
        <v>6.9</v>
      </c>
    </row>
    <row r="25" spans="1:6" ht="16.5" customHeight="1" x14ac:dyDescent="0.3">
      <c r="A25" s="17">
        <v>2</v>
      </c>
      <c r="B25" s="18">
        <v>7673494</v>
      </c>
      <c r="C25" s="18">
        <v>8298.2000000000007</v>
      </c>
      <c r="D25" s="19">
        <v>1.1000000000000001</v>
      </c>
      <c r="E25" s="19">
        <v>6.9</v>
      </c>
    </row>
    <row r="26" spans="1:6" ht="16.5" customHeight="1" x14ac:dyDescent="0.3">
      <c r="A26" s="17">
        <v>3</v>
      </c>
      <c r="B26" s="18">
        <v>7671688</v>
      </c>
      <c r="C26" s="18">
        <v>8357.5</v>
      </c>
      <c r="D26" s="19">
        <v>1.1000000000000001</v>
      </c>
      <c r="E26" s="19">
        <v>6.9</v>
      </c>
    </row>
    <row r="27" spans="1:6" ht="16.5" customHeight="1" x14ac:dyDescent="0.3">
      <c r="A27" s="17">
        <v>4</v>
      </c>
      <c r="B27" s="18">
        <v>7678027</v>
      </c>
      <c r="C27" s="18">
        <v>8100</v>
      </c>
      <c r="D27" s="19">
        <v>1</v>
      </c>
      <c r="E27" s="19">
        <v>6.9</v>
      </c>
    </row>
    <row r="28" spans="1:6" ht="16.5" customHeight="1" x14ac:dyDescent="0.3">
      <c r="A28" s="17">
        <v>5</v>
      </c>
      <c r="B28" s="18">
        <v>7676693</v>
      </c>
      <c r="C28" s="18">
        <v>7861.3</v>
      </c>
      <c r="D28" s="19">
        <v>1</v>
      </c>
      <c r="E28" s="19">
        <v>6.9</v>
      </c>
    </row>
    <row r="29" spans="1:6" ht="16.5" customHeight="1" x14ac:dyDescent="0.3">
      <c r="A29" s="17">
        <v>6</v>
      </c>
      <c r="B29" s="21">
        <v>7682227</v>
      </c>
      <c r="C29" s="21">
        <v>7795.5</v>
      </c>
      <c r="D29" s="22">
        <v>1</v>
      </c>
      <c r="E29" s="22">
        <v>6.9</v>
      </c>
    </row>
    <row r="30" spans="1:6" ht="16.5" customHeight="1" x14ac:dyDescent="0.3">
      <c r="A30" s="23" t="s">
        <v>18</v>
      </c>
      <c r="B30" s="24">
        <f>AVERAGE(B24:B29)</f>
        <v>7676885.166666667</v>
      </c>
      <c r="C30" s="25">
        <f>AVERAGE(C24:C29)</f>
        <v>8113.9666666666672</v>
      </c>
      <c r="D30" s="26">
        <f>AVERAGE(D24:D29)</f>
        <v>1.05</v>
      </c>
      <c r="E30" s="26">
        <f>AVERAGE(E24:E29)</f>
        <v>6.8999999999999995</v>
      </c>
    </row>
    <row r="31" spans="1:6" ht="16.5" customHeight="1" x14ac:dyDescent="0.3">
      <c r="A31" s="27" t="s">
        <v>19</v>
      </c>
      <c r="B31" s="28">
        <f>(STDEV(B24:B29)/B30)</f>
        <v>4.9997856392182958E-4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130</v>
      </c>
      <c r="C35" s="38"/>
      <c r="D35" s="38"/>
      <c r="E35" s="39"/>
      <c r="F35" s="2"/>
    </row>
    <row r="36" spans="1:6" ht="16.5" customHeight="1" x14ac:dyDescent="0.3">
      <c r="A36" s="11"/>
      <c r="B36" s="40" t="s">
        <v>129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0" t="s">
        <v>130</v>
      </c>
      <c r="C56" s="38"/>
      <c r="D56" s="38"/>
      <c r="E56" s="39"/>
      <c r="F56" s="2"/>
    </row>
    <row r="57" spans="1:7" ht="16.5" customHeight="1" x14ac:dyDescent="0.3">
      <c r="A57" s="11"/>
      <c r="B57" s="40" t="s">
        <v>129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24</v>
      </c>
      <c r="C59" s="28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131</v>
      </c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48" sqref="C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29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30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31</v>
      </c>
      <c r="B14" s="294"/>
      <c r="C14" s="60" t="s">
        <v>5</v>
      </c>
    </row>
    <row r="15" spans="1:7" ht="16.5" customHeight="1" x14ac:dyDescent="0.3">
      <c r="A15" s="294" t="s">
        <v>32</v>
      </c>
      <c r="B15" s="294"/>
      <c r="C15" s="60" t="s">
        <v>7</v>
      </c>
    </row>
    <row r="16" spans="1:7" ht="16.5" customHeight="1" x14ac:dyDescent="0.3">
      <c r="A16" s="294" t="s">
        <v>33</v>
      </c>
      <c r="B16" s="294"/>
      <c r="C16" s="60" t="s">
        <v>9</v>
      </c>
    </row>
    <row r="17" spans="1:5" ht="16.5" customHeight="1" x14ac:dyDescent="0.3">
      <c r="A17" s="294" t="s">
        <v>34</v>
      </c>
      <c r="B17" s="294"/>
      <c r="C17" s="60" t="s">
        <v>11</v>
      </c>
    </row>
    <row r="18" spans="1:5" ht="16.5" customHeight="1" x14ac:dyDescent="0.3">
      <c r="A18" s="294" t="s">
        <v>35</v>
      </c>
      <c r="B18" s="294"/>
      <c r="C18" s="97" t="s">
        <v>12</v>
      </c>
    </row>
    <row r="19" spans="1:5" ht="16.5" customHeight="1" x14ac:dyDescent="0.3">
      <c r="A19" s="294" t="s">
        <v>36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37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463.94</v>
      </c>
      <c r="D24" s="87">
        <f t="shared" ref="D24:D43" si="0">(C24-$C$46)/$C$46</f>
        <v>1.0027561643596772E-2</v>
      </c>
      <c r="E24" s="53"/>
    </row>
    <row r="25" spans="1:5" ht="15.75" customHeight="1" x14ac:dyDescent="0.3">
      <c r="C25" s="95">
        <v>458.83</v>
      </c>
      <c r="D25" s="88">
        <f t="shared" si="0"/>
        <v>-1.0972407877495084E-3</v>
      </c>
      <c r="E25" s="53"/>
    </row>
    <row r="26" spans="1:5" ht="15.75" customHeight="1" x14ac:dyDescent="0.3">
      <c r="C26" s="95">
        <v>463.74</v>
      </c>
      <c r="D26" s="88">
        <f t="shared" si="0"/>
        <v>9.5921486325852012E-3</v>
      </c>
      <c r="E26" s="53"/>
    </row>
    <row r="27" spans="1:5" ht="15.75" customHeight="1" x14ac:dyDescent="0.3">
      <c r="C27" s="95">
        <v>462.16</v>
      </c>
      <c r="D27" s="88">
        <f t="shared" si="0"/>
        <v>6.1523858455936366E-3</v>
      </c>
      <c r="E27" s="53"/>
    </row>
    <row r="28" spans="1:5" ht="15.75" customHeight="1" x14ac:dyDescent="0.3">
      <c r="C28" s="95">
        <v>455.46</v>
      </c>
      <c r="D28" s="88">
        <f t="shared" si="0"/>
        <v>-8.4339500232948929E-3</v>
      </c>
      <c r="E28" s="53"/>
    </row>
    <row r="29" spans="1:5" ht="15.75" customHeight="1" x14ac:dyDescent="0.3">
      <c r="C29" s="95">
        <v>461.61</v>
      </c>
      <c r="D29" s="88">
        <f t="shared" si="0"/>
        <v>4.9550000653117258E-3</v>
      </c>
      <c r="E29" s="53"/>
    </row>
    <row r="30" spans="1:5" ht="15.75" customHeight="1" x14ac:dyDescent="0.3">
      <c r="C30" s="95">
        <v>460.4</v>
      </c>
      <c r="D30" s="88">
        <f t="shared" si="0"/>
        <v>2.3207513486914969E-3</v>
      </c>
      <c r="E30" s="53"/>
    </row>
    <row r="31" spans="1:5" ht="15.75" customHeight="1" x14ac:dyDescent="0.3">
      <c r="C31" s="95">
        <v>467.79</v>
      </c>
      <c r="D31" s="88">
        <f t="shared" si="0"/>
        <v>1.8409262105570024E-2</v>
      </c>
      <c r="E31" s="53"/>
    </row>
    <row r="32" spans="1:5" ht="15.75" customHeight="1" x14ac:dyDescent="0.3">
      <c r="C32" s="95">
        <v>461.22</v>
      </c>
      <c r="D32" s="88">
        <f t="shared" si="0"/>
        <v>4.1059446938391453E-3</v>
      </c>
      <c r="E32" s="53"/>
    </row>
    <row r="33" spans="1:7" ht="15.75" customHeight="1" x14ac:dyDescent="0.3">
      <c r="C33" s="95">
        <v>455.01</v>
      </c>
      <c r="D33" s="88">
        <f t="shared" si="0"/>
        <v>-9.4136292980709566E-3</v>
      </c>
      <c r="E33" s="53"/>
    </row>
    <row r="34" spans="1:7" ht="15.75" customHeight="1" x14ac:dyDescent="0.3">
      <c r="C34" s="95">
        <v>455.97</v>
      </c>
      <c r="D34" s="88">
        <f t="shared" si="0"/>
        <v>-7.3236468452152221E-3</v>
      </c>
      <c r="E34" s="53"/>
    </row>
    <row r="35" spans="1:7" ht="15.75" customHeight="1" x14ac:dyDescent="0.3">
      <c r="C35" s="95">
        <v>451.47</v>
      </c>
      <c r="D35" s="88">
        <f t="shared" si="0"/>
        <v>-1.7120439592976107E-2</v>
      </c>
      <c r="E35" s="53"/>
    </row>
    <row r="36" spans="1:7" ht="15.75" customHeight="1" x14ac:dyDescent="0.3">
      <c r="C36" s="95">
        <v>460.25</v>
      </c>
      <c r="D36" s="88">
        <f t="shared" si="0"/>
        <v>1.9941915904328504E-3</v>
      </c>
      <c r="E36" s="53"/>
    </row>
    <row r="37" spans="1:7" ht="15.75" customHeight="1" x14ac:dyDescent="0.3">
      <c r="C37" s="95">
        <v>461.91</v>
      </c>
      <c r="D37" s="88">
        <f t="shared" si="0"/>
        <v>5.608119581829143E-3</v>
      </c>
      <c r="E37" s="53"/>
    </row>
    <row r="38" spans="1:7" ht="15.75" customHeight="1" x14ac:dyDescent="0.3">
      <c r="C38" s="95">
        <v>450.92</v>
      </c>
      <c r="D38" s="88">
        <f t="shared" si="0"/>
        <v>-1.8317825373258018E-2</v>
      </c>
      <c r="E38" s="53"/>
    </row>
    <row r="39" spans="1:7" ht="15.75" customHeight="1" x14ac:dyDescent="0.3">
      <c r="C39" s="95">
        <v>459.88</v>
      </c>
      <c r="D39" s="88">
        <f t="shared" si="0"/>
        <v>1.1886775200613897E-3</v>
      </c>
      <c r="E39" s="53"/>
    </row>
    <row r="40" spans="1:7" ht="15.75" customHeight="1" x14ac:dyDescent="0.3">
      <c r="C40" s="95">
        <v>458.83</v>
      </c>
      <c r="D40" s="88">
        <f t="shared" si="0"/>
        <v>-1.0972407877495084E-3</v>
      </c>
      <c r="E40" s="53"/>
    </row>
    <row r="41" spans="1:7" ht="15.75" customHeight="1" x14ac:dyDescent="0.3">
      <c r="C41" s="95">
        <v>463.52</v>
      </c>
      <c r="D41" s="88">
        <f t="shared" si="0"/>
        <v>9.113194320472388E-3</v>
      </c>
      <c r="E41" s="53"/>
    </row>
    <row r="42" spans="1:7" ht="15.75" customHeight="1" x14ac:dyDescent="0.3">
      <c r="C42" s="95">
        <v>453.94</v>
      </c>
      <c r="D42" s="88">
        <f t="shared" si="0"/>
        <v>-1.1743088906982975E-2</v>
      </c>
      <c r="E42" s="53"/>
    </row>
    <row r="43" spans="1:7" ht="16.5" customHeight="1" x14ac:dyDescent="0.3">
      <c r="C43" s="96">
        <v>459.83</v>
      </c>
      <c r="D43" s="89">
        <f t="shared" si="0"/>
        <v>1.0798242673084664E-3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9186.6800000000021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459.33400000000012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7">
        <f>C46</f>
        <v>459.33400000000012</v>
      </c>
      <c r="C49" s="93">
        <f>-IF(C46&lt;=80,10%,IF(C46&lt;250,7.5%,5%))</f>
        <v>-0.05</v>
      </c>
      <c r="D49" s="81">
        <f>IF(C46&lt;=80,C46*0.9,IF(C46&lt;250,C46*0.925,C46*0.95))</f>
        <v>436.36730000000011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482.30070000000012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43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44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29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45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31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332" t="s">
        <v>134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35</v>
      </c>
      <c r="B22" s="105">
        <v>42654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42655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132</v>
      </c>
      <c r="C26" s="327"/>
    </row>
    <row r="27" spans="1:14" ht="26.25" customHeight="1" x14ac:dyDescent="0.4">
      <c r="A27" s="109" t="s">
        <v>46</v>
      </c>
      <c r="B27" s="333" t="s">
        <v>133</v>
      </c>
      <c r="C27" s="333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47</v>
      </c>
      <c r="B29" s="111">
        <v>0</v>
      </c>
      <c r="C29" s="303" t="s">
        <v>48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6" t="s">
        <v>51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6" t="s">
        <v>53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50</v>
      </c>
      <c r="C36" s="99"/>
      <c r="D36" s="309" t="s">
        <v>57</v>
      </c>
      <c r="E36" s="334"/>
      <c r="F36" s="309" t="s">
        <v>58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7672202</v>
      </c>
      <c r="E38" s="133">
        <f>IF(ISBLANK(D38),"-",$D$48/$D$45*D38)</f>
        <v>7200524.445662437</v>
      </c>
      <c r="F38" s="132">
        <v>9571278</v>
      </c>
      <c r="G38" s="134">
        <f>IF(ISBLANK(F38),"-",$D$48/$F$45*F38)</f>
        <v>7422121.1714684293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7662352</v>
      </c>
      <c r="E39" s="138">
        <f>IF(ISBLANK(D39),"-",$D$48/$D$45*D39)</f>
        <v>7191280.0115625821</v>
      </c>
      <c r="F39" s="137">
        <v>9571529</v>
      </c>
      <c r="G39" s="139">
        <f>IF(ISBLANK(F39),"-",$D$48/$F$45*F39)</f>
        <v>7422315.8113497533</v>
      </c>
      <c r="I39" s="311">
        <f>ABS((F43/D43*D42)-F42)/D42</f>
        <v>3.7262427239176409E-2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7672639</v>
      </c>
      <c r="E40" s="138">
        <f>IF(ISBLANK(D40),"-",$D$48/$D$45*D40)</f>
        <v>7200934.5794392526</v>
      </c>
      <c r="F40" s="137">
        <v>9559651</v>
      </c>
      <c r="G40" s="139">
        <f>IF(ISBLANK(F40),"-",$D$48/$F$45*F40)</f>
        <v>7413104.924854272</v>
      </c>
      <c r="I40" s="311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7669064.333333333</v>
      </c>
      <c r="E42" s="148">
        <f>AVERAGE(E38:E41)</f>
        <v>7197579.67888809</v>
      </c>
      <c r="F42" s="147">
        <f>AVERAGE(F38:F41)</f>
        <v>9567486</v>
      </c>
      <c r="G42" s="149">
        <f>AVERAGE(G38:G41)</f>
        <v>7419180.6358908182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10.7</v>
      </c>
      <c r="E43" s="140"/>
      <c r="F43" s="152">
        <v>12.95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10.7</v>
      </c>
      <c r="E44" s="155"/>
      <c r="F44" s="154">
        <f>F43*$B$34</f>
        <v>12.95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50</v>
      </c>
      <c r="C45" s="153" t="s">
        <v>75</v>
      </c>
      <c r="D45" s="157">
        <f>D44*$B$30/100</f>
        <v>10.655059999999999</v>
      </c>
      <c r="E45" s="158"/>
      <c r="F45" s="157">
        <f>F44*$B$30/100</f>
        <v>12.89561</v>
      </c>
      <c r="H45" s="150"/>
    </row>
    <row r="46" spans="1:14" ht="19.5" customHeight="1" x14ac:dyDescent="0.3">
      <c r="A46" s="297" t="s">
        <v>76</v>
      </c>
      <c r="B46" s="298"/>
      <c r="C46" s="153" t="s">
        <v>77</v>
      </c>
      <c r="D46" s="159">
        <f>D45/$B$45</f>
        <v>0.21310119999999999</v>
      </c>
      <c r="E46" s="160"/>
      <c r="F46" s="161">
        <f>F45/$B$45</f>
        <v>0.25791219999999998</v>
      </c>
      <c r="H46" s="150"/>
    </row>
    <row r="47" spans="1:14" ht="27" customHeight="1" x14ac:dyDescent="0.4">
      <c r="A47" s="299"/>
      <c r="B47" s="300"/>
      <c r="C47" s="162" t="s">
        <v>78</v>
      </c>
      <c r="D47" s="163">
        <v>0.2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10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7308380.1573894536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1.6620722098663294E-2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tablet contains Fluconazole USP. 200mg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 xml:space="preserve">Fluconazole </v>
      </c>
      <c r="H56" s="179"/>
    </row>
    <row r="57" spans="1:12" ht="18.75" x14ac:dyDescent="0.3">
      <c r="A57" s="176" t="s">
        <v>86</v>
      </c>
      <c r="B57" s="247">
        <f>Uniformity!C46</f>
        <v>459.33400000000012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5</v>
      </c>
      <c r="C60" s="314" t="s">
        <v>92</v>
      </c>
      <c r="D60" s="317">
        <v>456.11</v>
      </c>
      <c r="E60" s="182">
        <v>1</v>
      </c>
      <c r="F60" s="183">
        <v>7467967</v>
      </c>
      <c r="G60" s="248">
        <f>IF(ISBLANK(F60),"-",(F60/$D$50*$D$47*$B$68)*($B$57/$D$60))</f>
        <v>205.81179252216236</v>
      </c>
      <c r="H60" s="266">
        <f t="shared" ref="H60:H71" si="0">IF(ISBLANK(F60),"-",(G60/$B$56)*100)</f>
        <v>102.90589626108118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315"/>
      <c r="D61" s="318"/>
      <c r="E61" s="184">
        <v>2</v>
      </c>
      <c r="F61" s="137">
        <v>7470363</v>
      </c>
      <c r="G61" s="249">
        <f>IF(ISBLANK(F61),"-",(F61/$D$50*$D$47*$B$68)*($B$57/$D$60))</f>
        <v>205.87782455670177</v>
      </c>
      <c r="H61" s="267">
        <f t="shared" si="0"/>
        <v>102.93891227835088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5"/>
      <c r="D62" s="318"/>
      <c r="E62" s="184">
        <v>3</v>
      </c>
      <c r="F62" s="185">
        <v>7463582</v>
      </c>
      <c r="G62" s="249">
        <f>IF(ISBLANK(F62),"-",(F62/$D$50*$D$47*$B$68)*($B$57/$D$60))</f>
        <v>205.69094507998574</v>
      </c>
      <c r="H62" s="267">
        <f t="shared" si="0"/>
        <v>102.84547253999288</v>
      </c>
      <c r="L62" s="112"/>
    </row>
    <row r="63" spans="1:12" ht="27" customHeight="1" x14ac:dyDescent="0.4">
      <c r="A63" s="124" t="s">
        <v>95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4" t="s">
        <v>97</v>
      </c>
      <c r="D64" s="317">
        <v>459.69</v>
      </c>
      <c r="E64" s="182">
        <v>1</v>
      </c>
      <c r="F64" s="183">
        <v>7530027</v>
      </c>
      <c r="G64" s="248">
        <f>IF(ISBLANK(F64),"-",(F64/$D$50*$D$47*$B$68)*($B$57/$D$64))</f>
        <v>205.90596881703169</v>
      </c>
      <c r="H64" s="266">
        <f t="shared" si="0"/>
        <v>102.95298440851583</v>
      </c>
    </row>
    <row r="65" spans="1:8" ht="26.25" customHeight="1" x14ac:dyDescent="0.4">
      <c r="A65" s="124" t="s">
        <v>98</v>
      </c>
      <c r="B65" s="125">
        <v>1</v>
      </c>
      <c r="C65" s="315"/>
      <c r="D65" s="318"/>
      <c r="E65" s="184">
        <v>2</v>
      </c>
      <c r="F65" s="137">
        <v>7519540</v>
      </c>
      <c r="G65" s="249">
        <f>IF(ISBLANK(F65),"-",(F65/$D$50*$D$47*$B$68)*($B$57/$D$64))</f>
        <v>205.61920545018268</v>
      </c>
      <c r="H65" s="267">
        <f t="shared" si="0"/>
        <v>102.80960272509134</v>
      </c>
    </row>
    <row r="66" spans="1:8" ht="26.25" customHeight="1" x14ac:dyDescent="0.4">
      <c r="A66" s="124" t="s">
        <v>99</v>
      </c>
      <c r="B66" s="125">
        <v>1</v>
      </c>
      <c r="C66" s="315"/>
      <c r="D66" s="318"/>
      <c r="E66" s="184">
        <v>3</v>
      </c>
      <c r="F66" s="137">
        <v>7526848</v>
      </c>
      <c r="G66" s="249">
        <f>IF(ISBLANK(F66),"-",(F66/$D$50*$D$47*$B$68)*($B$57/$D$64))</f>
        <v>205.81904016792203</v>
      </c>
      <c r="H66" s="267">
        <f t="shared" si="0"/>
        <v>102.90952008396101</v>
      </c>
    </row>
    <row r="67" spans="1:8" ht="27" customHeight="1" x14ac:dyDescent="0.4">
      <c r="A67" s="124" t="s">
        <v>100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101</v>
      </c>
      <c r="B68" s="188">
        <f>(B67/B66)*(B65/B64)*(B63/B62)*(B61/B60)*B59</f>
        <v>1000</v>
      </c>
      <c r="C68" s="314" t="s">
        <v>102</v>
      </c>
      <c r="D68" s="317">
        <v>460.18</v>
      </c>
      <c r="E68" s="182">
        <v>1</v>
      </c>
      <c r="F68" s="183">
        <v>7590311</v>
      </c>
      <c r="G68" s="248">
        <f>IF(ISBLANK(F68),"-",(F68/$D$50*$D$47*$B$68)*($B$57/$D$68))</f>
        <v>207.33340973442927</v>
      </c>
      <c r="H68" s="267">
        <f t="shared" si="0"/>
        <v>103.66670486721463</v>
      </c>
    </row>
    <row r="69" spans="1:8" ht="27" customHeight="1" x14ac:dyDescent="0.4">
      <c r="A69" s="172" t="s">
        <v>103</v>
      </c>
      <c r="B69" s="189">
        <f>(D47*B68)/B56*B57</f>
        <v>459.33400000000012</v>
      </c>
      <c r="C69" s="315"/>
      <c r="D69" s="318"/>
      <c r="E69" s="184">
        <v>2</v>
      </c>
      <c r="F69" s="137">
        <v>7592224</v>
      </c>
      <c r="G69" s="249">
        <f>IF(ISBLANK(F69),"-",(F69/$D$50*$D$47*$B$68)*($B$57/$D$68))</f>
        <v>207.3856643538806</v>
      </c>
      <c r="H69" s="267">
        <f t="shared" si="0"/>
        <v>103.6928321769403</v>
      </c>
    </row>
    <row r="70" spans="1:8" ht="26.25" customHeight="1" x14ac:dyDescent="0.4">
      <c r="A70" s="320" t="s">
        <v>76</v>
      </c>
      <c r="B70" s="321"/>
      <c r="C70" s="315"/>
      <c r="D70" s="318"/>
      <c r="E70" s="184">
        <v>3</v>
      </c>
      <c r="F70" s="137">
        <v>7586074</v>
      </c>
      <c r="G70" s="249">
        <f>IF(ISBLANK(F70),"-",(F70/$D$50*$D$47*$B$68)*($B$57/$D$68))</f>
        <v>207.21767381042767</v>
      </c>
      <c r="H70" s="267">
        <f t="shared" si="0"/>
        <v>103.60883690521383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69</v>
      </c>
      <c r="G72" s="254">
        <f>AVERAGE(G60:G71)</f>
        <v>206.295724943636</v>
      </c>
      <c r="H72" s="269">
        <f>AVERAGE(H60:H71)</f>
        <v>103.147862471818</v>
      </c>
    </row>
    <row r="73" spans="1:8" ht="26.25" customHeight="1" x14ac:dyDescent="0.4">
      <c r="C73" s="190"/>
      <c r="D73" s="190"/>
      <c r="E73" s="190"/>
      <c r="F73" s="193" t="s">
        <v>82</v>
      </c>
      <c r="G73" s="253">
        <f>STDEV(G60:G71)/G72</f>
        <v>3.7257929957381598E-3</v>
      </c>
      <c r="H73" s="253">
        <f>STDEV(H60:H71)/H72</f>
        <v>3.7257929957381546E-3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104</v>
      </c>
      <c r="B76" s="197" t="s">
        <v>105</v>
      </c>
      <c r="C76" s="301" t="str">
        <f>B26</f>
        <v>Fluconazole</v>
      </c>
      <c r="D76" s="301"/>
      <c r="E76" s="198" t="s">
        <v>106</v>
      </c>
      <c r="F76" s="198"/>
      <c r="G76" s="199">
        <f>H72</f>
        <v>103.147862471818</v>
      </c>
      <c r="H76" s="200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Fluconazole</v>
      </c>
      <c r="C79" s="335"/>
    </row>
    <row r="80" spans="1:8" ht="26.25" customHeight="1" x14ac:dyDescent="0.4">
      <c r="A80" s="109" t="s">
        <v>46</v>
      </c>
      <c r="B80" s="335" t="str">
        <f>B27</f>
        <v>F1-9</v>
      </c>
      <c r="C80" s="335"/>
    </row>
    <row r="81" spans="1:12" ht="27" customHeight="1" x14ac:dyDescent="0.4">
      <c r="A81" s="109" t="s">
        <v>6</v>
      </c>
      <c r="B81" s="201">
        <f>B28</f>
        <v>99.58</v>
      </c>
    </row>
    <row r="82" spans="1:12" s="14" customFormat="1" ht="27" customHeight="1" x14ac:dyDescent="0.4">
      <c r="A82" s="109" t="s">
        <v>47</v>
      </c>
      <c r="B82" s="111">
        <v>0</v>
      </c>
      <c r="C82" s="303" t="s">
        <v>48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6" t="s">
        <v>109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6" t="s">
        <v>110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50</v>
      </c>
      <c r="D89" s="202" t="s">
        <v>57</v>
      </c>
      <c r="E89" s="203"/>
      <c r="F89" s="309" t="s">
        <v>58</v>
      </c>
      <c r="G89" s="310"/>
    </row>
    <row r="90" spans="1:12" ht="27" customHeight="1" x14ac:dyDescent="0.4">
      <c r="A90" s="124" t="s">
        <v>59</v>
      </c>
      <c r="B90" s="125">
        <v>1</v>
      </c>
      <c r="C90" s="204" t="s">
        <v>60</v>
      </c>
      <c r="D90" s="127" t="s">
        <v>61</v>
      </c>
      <c r="E90" s="128" t="s">
        <v>62</v>
      </c>
      <c r="F90" s="127" t="s">
        <v>61</v>
      </c>
      <c r="G90" s="205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06">
        <v>1</v>
      </c>
      <c r="D91" s="132">
        <v>7672202</v>
      </c>
      <c r="E91" s="133">
        <f>IF(ISBLANK(D91),"-",$D$101/$D$98*D91)</f>
        <v>8000582.7174027078</v>
      </c>
      <c r="F91" s="132">
        <v>9571278</v>
      </c>
      <c r="G91" s="134">
        <f>IF(ISBLANK(F91),"-",$D$101/$F$98*F91)</f>
        <v>8246801.3016315894</v>
      </c>
      <c r="I91" s="135"/>
    </row>
    <row r="92" spans="1:12" ht="26.25" customHeight="1" x14ac:dyDescent="0.4">
      <c r="A92" s="124" t="s">
        <v>65</v>
      </c>
      <c r="B92" s="125">
        <v>1</v>
      </c>
      <c r="C92" s="191">
        <v>2</v>
      </c>
      <c r="D92" s="137">
        <v>7662352</v>
      </c>
      <c r="E92" s="138">
        <f>IF(ISBLANK(D92),"-",$D$101/$D$98*D92)</f>
        <v>7990311.1239584247</v>
      </c>
      <c r="F92" s="137">
        <v>9571529</v>
      </c>
      <c r="G92" s="139">
        <f>IF(ISBLANK(F92),"-",$D$101/$F$98*F92)</f>
        <v>8247017.5681663938</v>
      </c>
      <c r="I92" s="311">
        <f>ABS((F96/D96*D95)-F95)/D95</f>
        <v>3.7262427239176409E-2</v>
      </c>
    </row>
    <row r="93" spans="1:12" ht="26.25" customHeight="1" x14ac:dyDescent="0.4">
      <c r="A93" s="124" t="s">
        <v>66</v>
      </c>
      <c r="B93" s="125">
        <v>1</v>
      </c>
      <c r="C93" s="191">
        <v>3</v>
      </c>
      <c r="D93" s="137">
        <v>7672639</v>
      </c>
      <c r="E93" s="138">
        <f>IF(ISBLANK(D93),"-",$D$101/$D$98*D93)</f>
        <v>8001038.4215991702</v>
      </c>
      <c r="F93" s="137">
        <v>9559651</v>
      </c>
      <c r="G93" s="139">
        <f>IF(ISBLANK(F93),"-",$D$101/$F$98*F93)</f>
        <v>8236783.2498380803</v>
      </c>
      <c r="I93" s="311"/>
    </row>
    <row r="94" spans="1:12" ht="27" customHeight="1" x14ac:dyDescent="0.4">
      <c r="A94" s="124" t="s">
        <v>67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09" t="s">
        <v>69</v>
      </c>
      <c r="D95" s="210">
        <f>AVERAGE(D91:D94)</f>
        <v>7669064.333333333</v>
      </c>
      <c r="E95" s="148">
        <f>AVERAGE(E91:E94)</f>
        <v>7997310.7543200999</v>
      </c>
      <c r="F95" s="211">
        <f>AVERAGE(F91:F94)</f>
        <v>9567486</v>
      </c>
      <c r="G95" s="212">
        <f>AVERAGE(G91:G94)</f>
        <v>8243534.0398786878</v>
      </c>
    </row>
    <row r="96" spans="1:12" ht="26.25" customHeight="1" x14ac:dyDescent="0.4">
      <c r="A96" s="124" t="s">
        <v>70</v>
      </c>
      <c r="B96" s="110">
        <v>1</v>
      </c>
      <c r="C96" s="213" t="s">
        <v>111</v>
      </c>
      <c r="D96" s="214">
        <v>10.7</v>
      </c>
      <c r="E96" s="140"/>
      <c r="F96" s="152">
        <v>12.95</v>
      </c>
    </row>
    <row r="97" spans="1:10" ht="26.25" customHeight="1" x14ac:dyDescent="0.4">
      <c r="A97" s="124" t="s">
        <v>72</v>
      </c>
      <c r="B97" s="110">
        <v>1</v>
      </c>
      <c r="C97" s="215" t="s">
        <v>112</v>
      </c>
      <c r="D97" s="216">
        <f>D96*$B$87</f>
        <v>10.7</v>
      </c>
      <c r="E97" s="155"/>
      <c r="F97" s="154">
        <f>F96*$B$87</f>
        <v>12.95</v>
      </c>
    </row>
    <row r="98" spans="1:10" ht="19.5" customHeight="1" x14ac:dyDescent="0.3">
      <c r="A98" s="124" t="s">
        <v>74</v>
      </c>
      <c r="B98" s="217">
        <f>(B97/B96)*(B95/B94)*(B93/B92)*(B91/B90)*B89</f>
        <v>50</v>
      </c>
      <c r="C98" s="215" t="s">
        <v>113</v>
      </c>
      <c r="D98" s="218">
        <f>D97*$B$83/100</f>
        <v>10.655059999999999</v>
      </c>
      <c r="E98" s="158"/>
      <c r="F98" s="157">
        <f>F97*$B$83/100</f>
        <v>12.89561</v>
      </c>
    </row>
    <row r="99" spans="1:10" ht="19.5" customHeight="1" x14ac:dyDescent="0.3">
      <c r="A99" s="297" t="s">
        <v>76</v>
      </c>
      <c r="B99" s="312"/>
      <c r="C99" s="215" t="s">
        <v>114</v>
      </c>
      <c r="D99" s="219">
        <f>D98/$B$98</f>
        <v>0.21310119999999999</v>
      </c>
      <c r="E99" s="158"/>
      <c r="F99" s="161">
        <f>F98/$B$98</f>
        <v>0.25791219999999998</v>
      </c>
      <c r="G99" s="220"/>
      <c r="H99" s="150"/>
    </row>
    <row r="100" spans="1:10" ht="19.5" customHeight="1" x14ac:dyDescent="0.3">
      <c r="A100" s="299"/>
      <c r="B100" s="313"/>
      <c r="C100" s="215" t="s">
        <v>78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79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80</v>
      </c>
      <c r="D102" s="224">
        <f>D101/B34</f>
        <v>11.111111111111111</v>
      </c>
      <c r="F102" s="170"/>
      <c r="G102" s="220"/>
      <c r="H102" s="150"/>
      <c r="J102" s="225"/>
    </row>
    <row r="103" spans="1:10" ht="18.75" x14ac:dyDescent="0.3">
      <c r="C103" s="226" t="s">
        <v>115</v>
      </c>
      <c r="D103" s="227">
        <f>AVERAGE(E91:E94,G91:G94)</f>
        <v>8120422.3970993934</v>
      </c>
      <c r="F103" s="170"/>
      <c r="G103" s="228"/>
      <c r="H103" s="150"/>
      <c r="J103" s="229"/>
    </row>
    <row r="104" spans="1:10" ht="18.75" x14ac:dyDescent="0.3">
      <c r="C104" s="193" t="s">
        <v>82</v>
      </c>
      <c r="D104" s="230">
        <f>STDEV(E91:E94,G91:G94)/D103</f>
        <v>1.6620722098663342E-2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116</v>
      </c>
      <c r="B107" s="123">
        <v>900</v>
      </c>
      <c r="C107" s="270" t="s">
        <v>117</v>
      </c>
      <c r="D107" s="270" t="s">
        <v>61</v>
      </c>
      <c r="E107" s="270" t="s">
        <v>118</v>
      </c>
      <c r="F107" s="232" t="s">
        <v>119</v>
      </c>
    </row>
    <row r="108" spans="1:10" ht="26.25" customHeight="1" x14ac:dyDescent="0.4">
      <c r="A108" s="124" t="s">
        <v>120</v>
      </c>
      <c r="B108" s="125">
        <v>1</v>
      </c>
      <c r="C108" s="275">
        <v>1</v>
      </c>
      <c r="D108" s="276">
        <v>7864974</v>
      </c>
      <c r="E108" s="250">
        <f t="shared" ref="E108:E113" si="1">IF(ISBLANK(D108),"-",D108/$D$103*$D$100*$B$116)</f>
        <v>193.70849483911971</v>
      </c>
      <c r="F108" s="277">
        <f t="shared" ref="F108:F113" si="2">IF(ISBLANK(D108), "-", (E108/$B$56)*100)</f>
        <v>96.854247419559854</v>
      </c>
    </row>
    <row r="109" spans="1:10" ht="26.25" customHeight="1" x14ac:dyDescent="0.4">
      <c r="A109" s="124" t="s">
        <v>93</v>
      </c>
      <c r="B109" s="125">
        <v>1</v>
      </c>
      <c r="C109" s="271">
        <v>2</v>
      </c>
      <c r="D109" s="273">
        <v>7637733</v>
      </c>
      <c r="E109" s="251">
        <f t="shared" si="1"/>
        <v>188.11171701433142</v>
      </c>
      <c r="F109" s="278">
        <f t="shared" si="2"/>
        <v>94.055858507165709</v>
      </c>
    </row>
    <row r="110" spans="1:10" ht="26.25" customHeight="1" x14ac:dyDescent="0.4">
      <c r="A110" s="124" t="s">
        <v>94</v>
      </c>
      <c r="B110" s="125">
        <v>1</v>
      </c>
      <c r="C110" s="271">
        <v>3</v>
      </c>
      <c r="D110" s="273">
        <v>7708569</v>
      </c>
      <c r="E110" s="251">
        <f t="shared" si="1"/>
        <v>189.85635532342485</v>
      </c>
      <c r="F110" s="278">
        <f t="shared" si="2"/>
        <v>94.928177661712425</v>
      </c>
    </row>
    <row r="111" spans="1:10" ht="26.25" customHeight="1" x14ac:dyDescent="0.4">
      <c r="A111" s="124" t="s">
        <v>95</v>
      </c>
      <c r="B111" s="125">
        <v>1</v>
      </c>
      <c r="C111" s="271">
        <v>4</v>
      </c>
      <c r="D111" s="273">
        <v>7664363</v>
      </c>
      <c r="E111" s="251">
        <f t="shared" si="1"/>
        <v>188.76759422607626</v>
      </c>
      <c r="F111" s="278">
        <f t="shared" si="2"/>
        <v>94.383797113038128</v>
      </c>
    </row>
    <row r="112" spans="1:10" ht="26.25" customHeight="1" x14ac:dyDescent="0.4">
      <c r="A112" s="124" t="s">
        <v>96</v>
      </c>
      <c r="B112" s="125">
        <v>1</v>
      </c>
      <c r="C112" s="271">
        <v>5</v>
      </c>
      <c r="D112" s="273">
        <v>8027039</v>
      </c>
      <c r="E112" s="251">
        <f t="shared" si="1"/>
        <v>197.70003597022861</v>
      </c>
      <c r="F112" s="278">
        <f t="shared" si="2"/>
        <v>98.850017985114306</v>
      </c>
    </row>
    <row r="113" spans="1:10" ht="27" customHeight="1" x14ac:dyDescent="0.4">
      <c r="A113" s="124" t="s">
        <v>98</v>
      </c>
      <c r="B113" s="125">
        <v>1</v>
      </c>
      <c r="C113" s="272">
        <v>6</v>
      </c>
      <c r="D113" s="274">
        <v>7791913</v>
      </c>
      <c r="E113" s="252">
        <f t="shared" si="1"/>
        <v>191.9090564250269</v>
      </c>
      <c r="F113" s="279">
        <f t="shared" si="2"/>
        <v>95.954528212513452</v>
      </c>
    </row>
    <row r="114" spans="1:10" ht="27" customHeight="1" x14ac:dyDescent="0.4">
      <c r="A114" s="124" t="s">
        <v>99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100</v>
      </c>
      <c r="B115" s="125">
        <v>1</v>
      </c>
      <c r="C115" s="233"/>
      <c r="D115" s="257" t="s">
        <v>69</v>
      </c>
      <c r="E115" s="259">
        <f>AVERAGE(E108:E113)</f>
        <v>191.67554229970128</v>
      </c>
      <c r="F115" s="281">
        <f>AVERAGE(F108:F113)</f>
        <v>95.837771149850639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34"/>
      <c r="D116" s="258" t="s">
        <v>82</v>
      </c>
      <c r="E116" s="256">
        <f>STDEV(E108:E113)/E115</f>
        <v>1.8803233311233573E-2</v>
      </c>
      <c r="F116" s="235">
        <f>STDEV(F108:F113)/F115</f>
        <v>1.8803233311233573E-2</v>
      </c>
      <c r="I116" s="98"/>
    </row>
    <row r="117" spans="1:10" ht="27" customHeight="1" x14ac:dyDescent="0.4">
      <c r="A117" s="297" t="s">
        <v>76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121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122</v>
      </c>
      <c r="E119" s="263">
        <f>MIN(E108:E113)</f>
        <v>188.11171701433142</v>
      </c>
      <c r="F119" s="282">
        <f>MIN(F108:F113)</f>
        <v>94.055858507165709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123</v>
      </c>
      <c r="E120" s="264">
        <f>MAX(E108:E113)</f>
        <v>197.70003597022861</v>
      </c>
      <c r="F120" s="283">
        <f>MAX(F108:F113)</f>
        <v>98.850017985114306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104</v>
      </c>
      <c r="B124" s="197" t="s">
        <v>124</v>
      </c>
      <c r="C124" s="301" t="str">
        <f>B26</f>
        <v>Fluconazole</v>
      </c>
      <c r="D124" s="301"/>
      <c r="E124" s="198" t="s">
        <v>125</v>
      </c>
      <c r="F124" s="198"/>
      <c r="G124" s="284">
        <f>F115</f>
        <v>95.837771149850639</v>
      </c>
      <c r="H124" s="98"/>
      <c r="I124" s="98"/>
    </row>
    <row r="125" spans="1:10" ht="45.75" customHeight="1" x14ac:dyDescent="0.65">
      <c r="A125" s="108"/>
      <c r="B125" s="197" t="s">
        <v>126</v>
      </c>
      <c r="C125" s="109" t="s">
        <v>127</v>
      </c>
      <c r="D125" s="284">
        <f>MIN(F108:F113)</f>
        <v>94.055858507165709</v>
      </c>
      <c r="E125" s="209" t="s">
        <v>128</v>
      </c>
      <c r="F125" s="284">
        <f>MAX(F108:F113)</f>
        <v>98.850017985114306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24</v>
      </c>
      <c r="C127" s="302"/>
      <c r="E127" s="204" t="s">
        <v>25</v>
      </c>
      <c r="F127" s="239"/>
      <c r="G127" s="302" t="s">
        <v>26</v>
      </c>
      <c r="H127" s="302"/>
    </row>
    <row r="128" spans="1:10" ht="69.95" customHeight="1" x14ac:dyDescent="0.3">
      <c r="A128" s="240" t="s">
        <v>27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28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FLUCONAZOLE</vt:lpstr>
      <vt:lpstr>FLUCONAZOLE!Print_Area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2016-10-18T11:39:06Z</cp:lastPrinted>
  <dcterms:created xsi:type="dcterms:W3CDTF">2005-07-05T10:19:27Z</dcterms:created>
  <dcterms:modified xsi:type="dcterms:W3CDTF">2016-10-18T11:43:01Z</dcterms:modified>
</cp:coreProperties>
</file>