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4"/>
  </bookViews>
  <sheets>
    <sheet name="SST SULFAMETHOXAZOLE" sheetId="5" r:id="rId1"/>
    <sheet name="SST TRIMETHOPRIM" sheetId="6" r:id="rId2"/>
    <sheet name="Uniformity" sheetId="2" r:id="rId3"/>
    <sheet name="Sulfamethoxazole" sheetId="3" r:id="rId4"/>
    <sheet name="Trimethoprim" sheetId="4" r:id="rId5"/>
  </sheets>
  <definedNames>
    <definedName name="_xlnm.Print_Area" localSheetId="0">'SST SULFAMETHOXAZOLE'!$A$15:$H$61</definedName>
    <definedName name="_xlnm.Print_Area" localSheetId="1">'SST TRIMETHOPRIM'!$A$15:$G$61</definedName>
    <definedName name="_xlnm.Print_Area" localSheetId="3">Sulfamethoxazole!$A$1:$I$129</definedName>
    <definedName name="_xlnm.Print_Area" localSheetId="4">Trimethoprim!$A$1:$I$129</definedName>
    <definedName name="_xlnm.Print_Area" localSheetId="2">Uniformity!$A$12:$H$54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F51" i="5"/>
  <c r="D51" i="5"/>
  <c r="C51" i="5"/>
  <c r="B51" i="5"/>
  <c r="B52" i="5" s="1"/>
  <c r="B32" i="5"/>
  <c r="F30" i="5"/>
  <c r="D30" i="5"/>
  <c r="C30" i="5"/>
  <c r="B30" i="5"/>
  <c r="B31" i="5" s="1"/>
  <c r="B21" i="5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/>
  <c r="B98" i="3"/>
  <c r="F95" i="3"/>
  <c r="D95" i="3"/>
  <c r="I92" i="3" s="1"/>
  <c r="B87" i="3"/>
  <c r="F97" i="3" s="1"/>
  <c r="F98" i="3" s="1"/>
  <c r="B81" i="3"/>
  <c r="B83" i="3" s="1"/>
  <c r="B80" i="3"/>
  <c r="B79" i="3"/>
  <c r="C76" i="3"/>
  <c r="B68" i="3"/>
  <c r="C56" i="3"/>
  <c r="B55" i="3"/>
  <c r="B45" i="3"/>
  <c r="D48" i="3" s="1"/>
  <c r="F42" i="3"/>
  <c r="I39" i="3" s="1"/>
  <c r="D42" i="3"/>
  <c r="B34" i="3"/>
  <c r="D44" i="3" s="1"/>
  <c r="B30" i="3"/>
  <c r="C46" i="2"/>
  <c r="D39" i="2" s="1"/>
  <c r="C45" i="2"/>
  <c r="D37" i="2"/>
  <c r="D31" i="2"/>
  <c r="D29" i="2"/>
  <c r="C19" i="2"/>
  <c r="D101" i="3" l="1"/>
  <c r="G93" i="3" s="1"/>
  <c r="D101" i="4"/>
  <c r="I92" i="4"/>
  <c r="I39" i="4"/>
  <c r="F44" i="4"/>
  <c r="F45" i="4" s="1"/>
  <c r="D45" i="4"/>
  <c r="E39" i="4" s="1"/>
  <c r="F99" i="3"/>
  <c r="F44" i="3"/>
  <c r="F45" i="3" s="1"/>
  <c r="G41" i="3" s="1"/>
  <c r="D45" i="3"/>
  <c r="D46" i="3" s="1"/>
  <c r="D102" i="3"/>
  <c r="G94" i="3"/>
  <c r="G92" i="3"/>
  <c r="G91" i="3"/>
  <c r="F98" i="4"/>
  <c r="F99" i="4" s="1"/>
  <c r="B69" i="3"/>
  <c r="B57" i="4"/>
  <c r="B69" i="4" s="1"/>
  <c r="D50" i="2"/>
  <c r="B49" i="2"/>
  <c r="D42" i="2"/>
  <c r="D38" i="2"/>
  <c r="D34" i="2"/>
  <c r="D30" i="2"/>
  <c r="D26" i="2"/>
  <c r="B57" i="3"/>
  <c r="D49" i="2"/>
  <c r="D40" i="2"/>
  <c r="D36" i="2"/>
  <c r="D32" i="2"/>
  <c r="D28" i="2"/>
  <c r="D24" i="2"/>
  <c r="D25" i="2"/>
  <c r="D33" i="2"/>
  <c r="D41" i="2"/>
  <c r="C49" i="2"/>
  <c r="D27" i="2"/>
  <c r="D35" i="2"/>
  <c r="D43" i="2"/>
  <c r="C50" i="2"/>
  <c r="D49" i="3"/>
  <c r="D97" i="3"/>
  <c r="D98" i="3" s="1"/>
  <c r="D99" i="3" s="1"/>
  <c r="D97" i="4"/>
  <c r="D98" i="4" s="1"/>
  <c r="D99" i="4" s="1"/>
  <c r="D49" i="4"/>
  <c r="G92" i="4" l="1"/>
  <c r="D102" i="4"/>
  <c r="F46" i="4"/>
  <c r="G40" i="4"/>
  <c r="D46" i="4"/>
  <c r="E40" i="4"/>
  <c r="G39" i="4"/>
  <c r="G41" i="4"/>
  <c r="G38" i="4"/>
  <c r="E41" i="4"/>
  <c r="E38" i="4"/>
  <c r="E42" i="4" s="1"/>
  <c r="E93" i="4"/>
  <c r="E38" i="3"/>
  <c r="E41" i="3"/>
  <c r="E39" i="3"/>
  <c r="E40" i="3"/>
  <c r="G95" i="3"/>
  <c r="G38" i="3"/>
  <c r="G39" i="3"/>
  <c r="E91" i="3"/>
  <c r="G91" i="4"/>
  <c r="G94" i="4"/>
  <c r="E93" i="3"/>
  <c r="E92" i="4"/>
  <c r="E94" i="4"/>
  <c r="F46" i="3"/>
  <c r="G40" i="3"/>
  <c r="G93" i="4"/>
  <c r="E91" i="4"/>
  <c r="E94" i="3"/>
  <c r="E92" i="3"/>
  <c r="G42" i="4" l="1"/>
  <c r="D52" i="4"/>
  <c r="D50" i="4"/>
  <c r="G70" i="4" s="1"/>
  <c r="H70" i="4" s="1"/>
  <c r="G95" i="4"/>
  <c r="E42" i="3"/>
  <c r="D50" i="3"/>
  <c r="D51" i="3" s="1"/>
  <c r="D52" i="3"/>
  <c r="G42" i="3"/>
  <c r="D103" i="4"/>
  <c r="E95" i="4"/>
  <c r="D105" i="4"/>
  <c r="E95" i="3"/>
  <c r="D105" i="3"/>
  <c r="D103" i="3"/>
  <c r="G62" i="4" l="1"/>
  <c r="H62" i="4" s="1"/>
  <c r="G69" i="4"/>
  <c r="H69" i="4" s="1"/>
  <c r="G65" i="4"/>
  <c r="H65" i="4" s="1"/>
  <c r="G71" i="4"/>
  <c r="H71" i="4" s="1"/>
  <c r="D51" i="4"/>
  <c r="G60" i="4"/>
  <c r="H60" i="4" s="1"/>
  <c r="G63" i="4"/>
  <c r="H63" i="4" s="1"/>
  <c r="G64" i="4"/>
  <c r="H64" i="4" s="1"/>
  <c r="G68" i="4"/>
  <c r="H68" i="4" s="1"/>
  <c r="G67" i="4"/>
  <c r="H67" i="4" s="1"/>
  <c r="G66" i="4"/>
  <c r="H66" i="4" s="1"/>
  <c r="G61" i="4"/>
  <c r="H61" i="4" s="1"/>
  <c r="G63" i="3"/>
  <c r="H63" i="3" s="1"/>
  <c r="G60" i="3"/>
  <c r="H60" i="3" s="1"/>
  <c r="G61" i="3"/>
  <c r="H61" i="3" s="1"/>
  <c r="G70" i="3"/>
  <c r="H70" i="3" s="1"/>
  <c r="G62" i="3"/>
  <c r="H62" i="3" s="1"/>
  <c r="G68" i="3"/>
  <c r="H68" i="3" s="1"/>
  <c r="G69" i="3"/>
  <c r="H69" i="3" s="1"/>
  <c r="G71" i="3"/>
  <c r="H71" i="3" s="1"/>
  <c r="G66" i="3"/>
  <c r="H66" i="3" s="1"/>
  <c r="G67" i="3"/>
  <c r="H67" i="3" s="1"/>
  <c r="G65" i="3"/>
  <c r="H65" i="3" s="1"/>
  <c r="G64" i="3"/>
  <c r="H64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G72" i="4" l="1"/>
  <c r="G73" i="4" s="1"/>
  <c r="G74" i="4"/>
  <c r="G72" i="3"/>
  <c r="G73" i="3" s="1"/>
  <c r="G74" i="3"/>
  <c r="E120" i="4"/>
  <c r="E117" i="4"/>
  <c r="F108" i="4"/>
  <c r="E115" i="4"/>
  <c r="E116" i="4" s="1"/>
  <c r="E119" i="4"/>
  <c r="H74" i="3"/>
  <c r="H72" i="3"/>
  <c r="E115" i="3"/>
  <c r="E116" i="3" s="1"/>
  <c r="E120" i="3"/>
  <c r="E117" i="3"/>
  <c r="F108" i="3"/>
  <c r="E119" i="3"/>
  <c r="H74" i="4"/>
  <c r="H72" i="4"/>
  <c r="F119" i="3" l="1"/>
  <c r="F125" i="3"/>
  <c r="F120" i="3"/>
  <c r="F117" i="3"/>
  <c r="D125" i="3"/>
  <c r="F115" i="3"/>
  <c r="G76" i="3"/>
  <c r="H73" i="3"/>
  <c r="F125" i="4"/>
  <c r="F120" i="4"/>
  <c r="F117" i="4"/>
  <c r="D125" i="4"/>
  <c r="F115" i="4"/>
  <c r="F119" i="4"/>
  <c r="G76" i="4"/>
  <c r="H73" i="4"/>
  <c r="G124" i="3" l="1"/>
  <c r="F116" i="3"/>
  <c r="G124" i="4"/>
  <c r="F116" i="4"/>
</calcChain>
</file>

<file path=xl/sharedStrings.xml><?xml version="1.0" encoding="utf-8"?>
<sst xmlns="http://schemas.openxmlformats.org/spreadsheetml/2006/main" count="456" uniqueCount="143">
  <si>
    <t>HPLC System Suitability Report</t>
  </si>
  <si>
    <t>Analysis Data</t>
  </si>
  <si>
    <t>Assay</t>
  </si>
  <si>
    <t>Sample(s)</t>
  </si>
  <si>
    <t>Reference Substance:</t>
  </si>
  <si>
    <t>SULFRAN-DS TABLETS</t>
  </si>
  <si>
    <t>% age Purity:</t>
  </si>
  <si>
    <t>NDQB201609140</t>
  </si>
  <si>
    <t>Weight (mg):</t>
  </si>
  <si>
    <t>Sulfamethoxazole BP &amp; Trimethoprim BP</t>
  </si>
  <si>
    <t>Standard Conc (mg/mL):</t>
  </si>
  <si>
    <t xml:space="preserve">Each tablet contains: Sulphamethoxazole BP 800 mg and Trimethoprim BP 160 mg.
</t>
  </si>
  <si>
    <t>2016-09-30 14:56:06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</si>
  <si>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</si>
  <si>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</si>
  <si>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</si>
  <si>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</si>
  <si>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</si>
  <si>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</si>
  <si>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</si>
  <si>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</si>
  <si>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</si>
  <si>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</si>
  <si>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</si>
  <si>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</si>
  <si>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</si>
  <si>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</si>
  <si>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</si>
  <si>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</si>
  <si>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</si>
  <si>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</si>
  <si>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</si>
  <si>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</si>
  <si>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</si>
  <si>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</si>
  <si>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</si>
  <si>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</si>
  <si>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</si>
  <si>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</si>
  <si>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</si>
  <si>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</si>
  <si>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</si>
  <si>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</si>
  <si>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</si>
  <si>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</si>
  <si>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</si>
  <si>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</si>
  <si>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</si>
  <si>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</si>
  <si>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</si>
  <si>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</si>
  <si>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</si>
  <si>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</si>
  <si>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</si>
  <si>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</si>
  <si>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</si>
  <si>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</si>
  <si>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</si>
  <si>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</si>
  <si>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</si>
  <si>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</si>
  <si>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</si>
  <si>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</si>
  <si>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</si>
  <si>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</si>
  <si>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</si>
  <si>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</si>
  <si>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</si>
  <si>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</si>
  <si>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</si>
  <si>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</si>
  <si>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</si>
  <si>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</si>
  <si>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</si>
  <si>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</si>
  <si>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</si>
  <si>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</si>
  <si>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</si>
  <si>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</si>
  <si>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</si>
  <si>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</si>
  <si>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</si>
  <si>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</si>
  <si>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</si>
  <si>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</si>
  <si>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</si>
  <si>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</si>
  <si>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</si>
  <si>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</si>
  <si>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</si>
  <si>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</si>
  <si>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</si>
  <si>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</si>
  <si>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</si>
  <si>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</si>
  <si>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</si>
  <si>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</si>
  <si>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</si>
  <si>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</si>
  <si>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</si>
  <si>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</si>
  <si>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</si>
  <si>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</si>
  <si>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</si>
  <si>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</si>
  <si>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</si>
  <si>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</si>
  <si>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</si>
  <si>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</si>
  <si>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</si>
  <si>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</si>
  <si>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</si>
  <si>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</si>
  <si>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</si>
  <si>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</si>
  <si>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</si>
  <si>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</si>
  <si>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</si>
  <si>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</si>
  <si>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</si>
  <si>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</si>
  <si>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</si>
  <si>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</si>
  <si>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</si>
  <si>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</si>
  <si>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</si>
  <si>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</si>
  <si>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</si>
  <si>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</si>
  <si>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</si>
  <si>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</si>
  <si>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UNITRIM TABLETS</t>
  </si>
  <si>
    <t xml:space="preserve">Sulfamethoxazole </t>
  </si>
  <si>
    <t>Resolution (USP</t>
  </si>
  <si>
    <r>
      <t xml:space="preserve">Resolution between Sulfamethoxazole and Trimethoprim is </t>
    </r>
    <r>
      <rPr>
        <b/>
        <sz val="12"/>
        <color rgb="FF000000"/>
        <rFont val="Book Antiqua"/>
        <family val="1"/>
      </rPr>
      <t>NLT 5.0</t>
    </r>
  </si>
  <si>
    <t>Resolution (USP)</t>
  </si>
  <si>
    <t>RUTTO KENNEDY</t>
  </si>
  <si>
    <t xml:space="preserve">Trimethoprim </t>
  </si>
  <si>
    <t>Sulfamethoxazole</t>
  </si>
  <si>
    <t>S12-4</t>
  </si>
  <si>
    <t xml:space="preserve"> Trimethoprim </t>
  </si>
  <si>
    <t>T7-4</t>
  </si>
  <si>
    <t>Each tablet contains: Sulphamethoxazole B.P. 800 mg and Trimethoprim B.P. 160 mg.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</si>
</sst>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26" fillId="2" borderId="0" xfId="1" applyNumberFormat="1" applyFont="1" applyFill="1" applyAlignment="1">
      <alignment horizontal="center"/>
    </xf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26" fillId="2" borderId="1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7" fillId="2" borderId="0" xfId="1" applyFont="1" applyFill="1"/>
    <xf numFmtId="0" fontId="2" fillId="2" borderId="9" xfId="1" applyFont="1" applyFill="1" applyBorder="1"/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8" fillId="2" borderId="7" xfId="1" applyFont="1" applyFill="1" applyBorder="1"/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A29" sqref="A29"/>
    </sheetView>
  </sheetViews>
  <sheetFormatPr defaultRowHeight="13.5" x14ac:dyDescent="0.25"/>
  <cols>
    <col min="1" max="1" width="27.5703125" style="474" customWidth="1"/>
    <col min="2" max="2" width="20.42578125" style="474" customWidth="1"/>
    <col min="3" max="3" width="31.85546875" style="474" customWidth="1"/>
    <col min="4" max="5" width="25.85546875" style="474" customWidth="1"/>
    <col min="6" max="6" width="25.7109375" style="474" customWidth="1"/>
    <col min="7" max="7" width="23.140625" style="474" customWidth="1"/>
    <col min="8" max="8" width="28.42578125" style="474" customWidth="1"/>
    <col min="9" max="9" width="21.5703125" style="474" customWidth="1"/>
    <col min="10" max="10" width="9.140625" style="474" customWidth="1"/>
    <col min="11" max="16384" width="9.140625" style="514"/>
  </cols>
  <sheetData>
    <row r="14" spans="1:7" ht="15" customHeight="1" x14ac:dyDescent="0.3">
      <c r="A14" s="473"/>
      <c r="C14" s="475"/>
      <c r="G14" s="475"/>
    </row>
    <row r="15" spans="1:7" ht="18.75" customHeight="1" x14ac:dyDescent="0.3">
      <c r="A15" s="476" t="s">
        <v>0</v>
      </c>
      <c r="B15" s="476"/>
      <c r="C15" s="476"/>
      <c r="D15" s="476"/>
      <c r="E15" s="476"/>
      <c r="F15" s="476"/>
    </row>
    <row r="16" spans="1:7" ht="16.5" customHeight="1" x14ac:dyDescent="0.3">
      <c r="A16" s="477" t="s">
        <v>1</v>
      </c>
      <c r="B16" s="478" t="s">
        <v>2</v>
      </c>
    </row>
    <row r="17" spans="1:6" ht="16.5" customHeight="1" x14ac:dyDescent="0.3">
      <c r="A17" s="479" t="s">
        <v>3</v>
      </c>
      <c r="B17" s="479" t="s">
        <v>131</v>
      </c>
      <c r="D17" s="480"/>
      <c r="E17" s="480"/>
      <c r="F17" s="481"/>
    </row>
    <row r="18" spans="1:6" ht="16.5" customHeight="1" x14ac:dyDescent="0.3">
      <c r="A18" s="482" t="s">
        <v>4</v>
      </c>
      <c r="B18" s="483" t="s">
        <v>132</v>
      </c>
      <c r="C18" s="481"/>
      <c r="D18" s="481"/>
      <c r="E18" s="481"/>
      <c r="F18" s="481"/>
    </row>
    <row r="19" spans="1:6" ht="16.5" customHeight="1" x14ac:dyDescent="0.3">
      <c r="A19" s="482" t="s">
        <v>6</v>
      </c>
      <c r="B19" s="484">
        <v>99.8</v>
      </c>
      <c r="C19" s="481"/>
      <c r="D19" s="481"/>
      <c r="E19" s="481"/>
      <c r="F19" s="481"/>
    </row>
    <row r="20" spans="1:6" ht="16.5" customHeight="1" x14ac:dyDescent="0.3">
      <c r="A20" s="479" t="s">
        <v>8</v>
      </c>
      <c r="B20" s="484">
        <v>18.850000000000001</v>
      </c>
      <c r="C20" s="481"/>
      <c r="D20" s="481"/>
      <c r="E20" s="481"/>
      <c r="F20" s="481"/>
    </row>
    <row r="21" spans="1:6" ht="16.5" customHeight="1" x14ac:dyDescent="0.3">
      <c r="A21" s="479" t="s">
        <v>10</v>
      </c>
      <c r="B21" s="485">
        <f>18.85/25*20/100</f>
        <v>0.15079999999999999</v>
      </c>
      <c r="C21" s="481"/>
      <c r="D21" s="481"/>
      <c r="E21" s="481"/>
      <c r="F21" s="481"/>
    </row>
    <row r="22" spans="1:6" ht="15.75" customHeight="1" x14ac:dyDescent="0.25">
      <c r="A22" s="481"/>
      <c r="B22" s="481"/>
      <c r="C22" s="481"/>
      <c r="D22" s="481"/>
      <c r="E22" s="481"/>
      <c r="F22" s="481"/>
    </row>
    <row r="23" spans="1:6" ht="16.5" customHeight="1" x14ac:dyDescent="0.3">
      <c r="A23" s="486" t="s">
        <v>13</v>
      </c>
      <c r="B23" s="487" t="s">
        <v>14</v>
      </c>
      <c r="C23" s="486" t="s">
        <v>15</v>
      </c>
      <c r="D23" s="486" t="s">
        <v>16</v>
      </c>
      <c r="E23" s="488" t="s">
        <v>133</v>
      </c>
      <c r="F23" s="486" t="s">
        <v>17</v>
      </c>
    </row>
    <row r="24" spans="1:6" ht="16.5" customHeight="1" x14ac:dyDescent="0.3">
      <c r="A24" s="489">
        <v>1</v>
      </c>
      <c r="B24" s="490">
        <v>60726689</v>
      </c>
      <c r="C24" s="490">
        <v>7250.24</v>
      </c>
      <c r="D24" s="491">
        <v>1.2</v>
      </c>
      <c r="E24" s="491">
        <v>7.6</v>
      </c>
      <c r="F24" s="492">
        <v>6.47</v>
      </c>
    </row>
    <row r="25" spans="1:6" ht="16.5" customHeight="1" x14ac:dyDescent="0.3">
      <c r="A25" s="489">
        <v>2</v>
      </c>
      <c r="B25" s="490">
        <v>61158142</v>
      </c>
      <c r="C25" s="490">
        <v>7260.92</v>
      </c>
      <c r="D25" s="491">
        <v>1.19</v>
      </c>
      <c r="E25" s="491">
        <v>7.61</v>
      </c>
      <c r="F25" s="491">
        <v>6.47</v>
      </c>
    </row>
    <row r="26" spans="1:6" ht="16.5" customHeight="1" x14ac:dyDescent="0.3">
      <c r="A26" s="489">
        <v>3</v>
      </c>
      <c r="B26" s="490">
        <v>60944257</v>
      </c>
      <c r="C26" s="490">
        <v>7264.28</v>
      </c>
      <c r="D26" s="491">
        <v>1.19</v>
      </c>
      <c r="E26" s="491">
        <v>7.61</v>
      </c>
      <c r="F26" s="491">
        <v>6.47</v>
      </c>
    </row>
    <row r="27" spans="1:6" ht="16.5" customHeight="1" x14ac:dyDescent="0.3">
      <c r="A27" s="489">
        <v>4</v>
      </c>
      <c r="B27" s="490">
        <v>61384725</v>
      </c>
      <c r="C27" s="490">
        <v>7360.26</v>
      </c>
      <c r="D27" s="491">
        <v>1.19</v>
      </c>
      <c r="E27" s="491">
        <v>7.62</v>
      </c>
      <c r="F27" s="491">
        <v>6.48</v>
      </c>
    </row>
    <row r="28" spans="1:6" ht="16.5" customHeight="1" x14ac:dyDescent="0.3">
      <c r="A28" s="489">
        <v>5</v>
      </c>
      <c r="B28" s="490">
        <v>61316149</v>
      </c>
      <c r="C28" s="490">
        <v>7256.72</v>
      </c>
      <c r="D28" s="491">
        <v>1.2</v>
      </c>
      <c r="E28" s="491">
        <v>7.62</v>
      </c>
      <c r="F28" s="491">
        <v>6.47</v>
      </c>
    </row>
    <row r="29" spans="1:6" ht="16.5" customHeight="1" x14ac:dyDescent="0.3">
      <c r="A29" s="489">
        <v>6</v>
      </c>
      <c r="B29" s="493">
        <v>61462550</v>
      </c>
      <c r="C29" s="493">
        <v>7289.83</v>
      </c>
      <c r="D29" s="494">
        <v>1.22</v>
      </c>
      <c r="E29" s="494">
        <v>7.62</v>
      </c>
      <c r="F29" s="494">
        <v>6.46</v>
      </c>
    </row>
    <row r="30" spans="1:6" ht="16.5" customHeight="1" x14ac:dyDescent="0.3">
      <c r="A30" s="495" t="s">
        <v>18</v>
      </c>
      <c r="B30" s="496">
        <f>AVERAGE(B24:B29)</f>
        <v>61165418.666666664</v>
      </c>
      <c r="C30" s="497">
        <f>AVERAGE(C24:C29)</f>
        <v>7280.375</v>
      </c>
      <c r="D30" s="498">
        <f>AVERAGE(D24:D29)</f>
        <v>1.1983333333333333</v>
      </c>
      <c r="E30" s="498">
        <v>7.61</v>
      </c>
      <c r="F30" s="498">
        <f>AVERAGE(F24:F29)</f>
        <v>6.47</v>
      </c>
    </row>
    <row r="31" spans="1:6" ht="16.5" customHeight="1" x14ac:dyDescent="0.3">
      <c r="A31" s="499" t="s">
        <v>19</v>
      </c>
      <c r="B31" s="500">
        <f>(STDEV(B24:B29)/B30)</f>
        <v>4.6274102106679954E-3</v>
      </c>
      <c r="C31" s="501"/>
      <c r="D31" s="501"/>
      <c r="E31" s="501"/>
      <c r="F31" s="502"/>
    </row>
    <row r="32" spans="1:6" s="474" customFormat="1" ht="16.5" customHeight="1" x14ac:dyDescent="0.3">
      <c r="A32" s="503" t="s">
        <v>20</v>
      </c>
      <c r="B32" s="504">
        <f>COUNT(B24:B29)</f>
        <v>6</v>
      </c>
      <c r="C32" s="505"/>
      <c r="D32" s="506"/>
      <c r="E32" s="506"/>
      <c r="F32" s="507"/>
    </row>
    <row r="33" spans="1:6" s="474" customFormat="1" ht="15.75" customHeight="1" x14ac:dyDescent="0.25">
      <c r="A33" s="481"/>
      <c r="B33" s="481"/>
      <c r="C33" s="481"/>
      <c r="D33" s="481"/>
      <c r="E33" s="481"/>
      <c r="F33" s="481"/>
    </row>
    <row r="34" spans="1:6" s="474" customFormat="1" ht="16.5" customHeight="1" x14ac:dyDescent="0.3">
      <c r="A34" s="482" t="s">
        <v>21</v>
      </c>
      <c r="B34" s="508" t="s">
        <v>22</v>
      </c>
      <c r="C34" s="509"/>
      <c r="D34" s="509"/>
      <c r="E34" s="509"/>
      <c r="F34" s="509"/>
    </row>
    <row r="35" spans="1:6" ht="16.5" customHeight="1" x14ac:dyDescent="0.3">
      <c r="A35" s="482"/>
      <c r="B35" s="508" t="s">
        <v>23</v>
      </c>
      <c r="C35" s="509"/>
      <c r="D35" s="509"/>
      <c r="E35" s="509"/>
      <c r="F35" s="509"/>
    </row>
    <row r="36" spans="1:6" ht="16.5" customHeight="1" x14ac:dyDescent="0.3">
      <c r="A36" s="482"/>
      <c r="B36" s="508" t="s">
        <v>24</v>
      </c>
      <c r="C36" s="509"/>
      <c r="D36" s="509"/>
      <c r="E36" s="509"/>
      <c r="F36" s="509"/>
    </row>
    <row r="37" spans="1:6" ht="15.75" customHeight="1" x14ac:dyDescent="0.3">
      <c r="A37" s="481"/>
      <c r="B37" s="510" t="s">
        <v>134</v>
      </c>
      <c r="C37" s="481"/>
      <c r="D37" s="481"/>
      <c r="E37" s="481"/>
      <c r="F37" s="481"/>
    </row>
    <row r="38" spans="1:6" ht="16.5" customHeight="1" x14ac:dyDescent="0.3">
      <c r="A38" s="477" t="s">
        <v>1</v>
      </c>
      <c r="B38" s="478" t="s">
        <v>25</v>
      </c>
    </row>
    <row r="39" spans="1:6" ht="16.5" customHeight="1" x14ac:dyDescent="0.3">
      <c r="A39" s="482" t="s">
        <v>4</v>
      </c>
      <c r="B39" s="479"/>
      <c r="C39" s="481"/>
      <c r="D39" s="481"/>
      <c r="E39" s="481"/>
      <c r="F39" s="481"/>
    </row>
    <row r="40" spans="1:6" ht="16.5" customHeight="1" x14ac:dyDescent="0.3">
      <c r="A40" s="482" t="s">
        <v>6</v>
      </c>
      <c r="B40" s="484"/>
      <c r="C40" s="481"/>
      <c r="D40" s="481"/>
      <c r="E40" s="481"/>
      <c r="F40" s="481"/>
    </row>
    <row r="41" spans="1:6" ht="16.5" customHeight="1" x14ac:dyDescent="0.3">
      <c r="A41" s="479" t="s">
        <v>8</v>
      </c>
      <c r="B41" s="484"/>
      <c r="C41" s="481"/>
      <c r="D41" s="481"/>
      <c r="E41" s="481"/>
      <c r="F41" s="481"/>
    </row>
    <row r="42" spans="1:6" ht="16.5" customHeight="1" x14ac:dyDescent="0.3">
      <c r="A42" s="479" t="s">
        <v>10</v>
      </c>
      <c r="B42" s="485"/>
      <c r="C42" s="481"/>
      <c r="D42" s="481"/>
      <c r="E42" s="481"/>
      <c r="F42" s="481"/>
    </row>
    <row r="43" spans="1:6" ht="15.75" customHeight="1" x14ac:dyDescent="0.25">
      <c r="A43" s="481"/>
      <c r="B43" s="481"/>
      <c r="C43" s="481"/>
      <c r="D43" s="481"/>
      <c r="E43" s="481"/>
      <c r="F43" s="481"/>
    </row>
    <row r="44" spans="1:6" ht="16.5" customHeight="1" x14ac:dyDescent="0.3">
      <c r="A44" s="486" t="s">
        <v>13</v>
      </c>
      <c r="B44" s="487" t="s">
        <v>14</v>
      </c>
      <c r="C44" s="486" t="s">
        <v>15</v>
      </c>
      <c r="D44" s="486" t="s">
        <v>16</v>
      </c>
      <c r="E44" s="488" t="s">
        <v>135</v>
      </c>
      <c r="F44" s="486" t="s">
        <v>17</v>
      </c>
    </row>
    <row r="45" spans="1:6" ht="16.5" customHeight="1" x14ac:dyDescent="0.3">
      <c r="A45" s="489">
        <v>1</v>
      </c>
      <c r="B45" s="490"/>
      <c r="C45" s="490"/>
      <c r="D45" s="491"/>
      <c r="E45" s="491"/>
      <c r="F45" s="492"/>
    </row>
    <row r="46" spans="1:6" ht="16.5" customHeight="1" x14ac:dyDescent="0.3">
      <c r="A46" s="489">
        <v>2</v>
      </c>
      <c r="B46" s="490"/>
      <c r="C46" s="490"/>
      <c r="D46" s="491"/>
      <c r="E46" s="491"/>
      <c r="F46" s="491"/>
    </row>
    <row r="47" spans="1:6" ht="16.5" customHeight="1" x14ac:dyDescent="0.3">
      <c r="A47" s="489">
        <v>3</v>
      </c>
      <c r="B47" s="490"/>
      <c r="C47" s="490"/>
      <c r="D47" s="491"/>
      <c r="E47" s="491"/>
      <c r="F47" s="491"/>
    </row>
    <row r="48" spans="1:6" ht="16.5" customHeight="1" x14ac:dyDescent="0.3">
      <c r="A48" s="489">
        <v>4</v>
      </c>
      <c r="B48" s="490"/>
      <c r="C48" s="490"/>
      <c r="D48" s="491"/>
      <c r="E48" s="491"/>
      <c r="F48" s="491"/>
    </row>
    <row r="49" spans="1:8" ht="16.5" customHeight="1" x14ac:dyDescent="0.3">
      <c r="A49" s="489">
        <v>5</v>
      </c>
      <c r="B49" s="490"/>
      <c r="C49" s="490"/>
      <c r="D49" s="491"/>
      <c r="E49" s="491"/>
      <c r="F49" s="491"/>
    </row>
    <row r="50" spans="1:8" ht="16.5" customHeight="1" x14ac:dyDescent="0.3">
      <c r="A50" s="489">
        <v>6</v>
      </c>
      <c r="B50" s="493"/>
      <c r="C50" s="493"/>
      <c r="D50" s="494"/>
      <c r="E50" s="494"/>
      <c r="F50" s="494"/>
    </row>
    <row r="51" spans="1:8" ht="16.5" customHeight="1" x14ac:dyDescent="0.3">
      <c r="A51" s="495" t="s">
        <v>18</v>
      </c>
      <c r="B51" s="496" t="e">
        <f>AVERAGE(B45:B50)</f>
        <v>#DIV/0!</v>
      </c>
      <c r="C51" s="497" t="e">
        <f>AVERAGE(C45:C50)</f>
        <v>#DIV/0!</v>
      </c>
      <c r="D51" s="498" t="e">
        <f>AVERAGE(D45:D50)</f>
        <v>#DIV/0!</v>
      </c>
      <c r="E51" s="498"/>
      <c r="F51" s="498" t="e">
        <f>AVERAGE(F45:F50)</f>
        <v>#DIV/0!</v>
      </c>
    </row>
    <row r="52" spans="1:8" ht="16.5" customHeight="1" x14ac:dyDescent="0.3">
      <c r="A52" s="499" t="s">
        <v>19</v>
      </c>
      <c r="B52" s="500" t="e">
        <f>(STDEV(B45:B50)/B51)</f>
        <v>#DIV/0!</v>
      </c>
      <c r="C52" s="501"/>
      <c r="D52" s="501"/>
      <c r="E52" s="501"/>
      <c r="F52" s="502"/>
    </row>
    <row r="53" spans="1:8" s="474" customFormat="1" ht="16.5" customHeight="1" x14ac:dyDescent="0.3">
      <c r="A53" s="503" t="s">
        <v>20</v>
      </c>
      <c r="B53" s="504">
        <f>COUNT(B45:B50)</f>
        <v>0</v>
      </c>
      <c r="C53" s="505"/>
      <c r="D53" s="506"/>
      <c r="E53" s="506"/>
      <c r="F53" s="507"/>
    </row>
    <row r="54" spans="1:8" s="474" customFormat="1" ht="15.75" customHeight="1" x14ac:dyDescent="0.25">
      <c r="A54" s="481"/>
      <c r="B54" s="481"/>
      <c r="C54" s="481"/>
      <c r="D54" s="481"/>
      <c r="E54" s="481"/>
      <c r="F54" s="481"/>
    </row>
    <row r="55" spans="1:8" s="474" customFormat="1" ht="16.5" customHeight="1" x14ac:dyDescent="0.3">
      <c r="A55" s="482" t="s">
        <v>21</v>
      </c>
      <c r="B55" s="508" t="s">
        <v>22</v>
      </c>
      <c r="C55" s="509"/>
      <c r="D55" s="509"/>
      <c r="E55" s="509"/>
      <c r="F55" s="509"/>
    </row>
    <row r="56" spans="1:8" ht="16.5" customHeight="1" x14ac:dyDescent="0.3">
      <c r="A56" s="482"/>
      <c r="B56" s="508" t="s">
        <v>23</v>
      </c>
      <c r="C56" s="509"/>
      <c r="D56" s="509"/>
      <c r="E56" s="509"/>
      <c r="F56" s="509"/>
    </row>
    <row r="57" spans="1:8" ht="16.5" customHeight="1" x14ac:dyDescent="0.3">
      <c r="A57" s="482"/>
      <c r="B57" s="508" t="s">
        <v>24</v>
      </c>
      <c r="C57" s="509"/>
      <c r="D57" s="509"/>
      <c r="E57" s="509"/>
      <c r="F57" s="509"/>
    </row>
    <row r="58" spans="1:8" ht="14.25" customHeight="1" thickBot="1" x14ac:dyDescent="0.35">
      <c r="A58" s="511"/>
      <c r="B58" s="510" t="s">
        <v>134</v>
      </c>
      <c r="D58" s="512"/>
      <c r="E58" s="513"/>
      <c r="G58" s="514"/>
      <c r="H58" s="514"/>
    </row>
    <row r="59" spans="1:8" ht="15" customHeight="1" x14ac:dyDescent="0.3">
      <c r="B59" s="515" t="s">
        <v>26</v>
      </c>
      <c r="C59" s="515"/>
      <c r="F59" s="516" t="s">
        <v>27</v>
      </c>
      <c r="G59" s="517"/>
      <c r="H59" s="516" t="s">
        <v>28</v>
      </c>
    </row>
    <row r="60" spans="1:8" ht="15" customHeight="1" x14ac:dyDescent="0.3">
      <c r="A60" s="518" t="s">
        <v>29</v>
      </c>
      <c r="B60" s="519" t="s">
        <v>136</v>
      </c>
      <c r="C60" s="520"/>
      <c r="F60" s="520"/>
      <c r="H60" s="520"/>
    </row>
    <row r="61" spans="1:8" ht="15" customHeight="1" x14ac:dyDescent="0.3">
      <c r="A61" s="518" t="s">
        <v>30</v>
      </c>
      <c r="B61" s="521"/>
      <c r="C61" s="521"/>
      <c r="F61" s="521"/>
      <c r="H61" s="522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30" sqref="B30"/>
    </sheetView>
  </sheetViews>
  <sheetFormatPr defaultRowHeight="13.5" x14ac:dyDescent="0.25"/>
  <cols>
    <col min="1" max="1" width="27.5703125" style="474" customWidth="1"/>
    <col min="2" max="2" width="20.42578125" style="474" customWidth="1"/>
    <col min="3" max="3" width="31.85546875" style="474" customWidth="1"/>
    <col min="4" max="4" width="25.85546875" style="474" customWidth="1"/>
    <col min="5" max="5" width="25.7109375" style="474" customWidth="1"/>
    <col min="6" max="6" width="23.140625" style="474" customWidth="1"/>
    <col min="7" max="7" width="28.42578125" style="474" customWidth="1"/>
    <col min="8" max="8" width="21.5703125" style="474" customWidth="1"/>
    <col min="9" max="9" width="9.140625" style="474" customWidth="1"/>
    <col min="10" max="16384" width="9.140625" style="514"/>
  </cols>
  <sheetData>
    <row r="14" spans="1:6" ht="15" customHeight="1" x14ac:dyDescent="0.3">
      <c r="A14" s="473"/>
      <c r="C14" s="475"/>
      <c r="F14" s="475"/>
    </row>
    <row r="15" spans="1:6" ht="18.75" customHeight="1" x14ac:dyDescent="0.3">
      <c r="A15" s="476" t="s">
        <v>0</v>
      </c>
      <c r="B15" s="476"/>
      <c r="C15" s="476"/>
      <c r="D15" s="476"/>
      <c r="E15" s="476"/>
    </row>
    <row r="16" spans="1:6" ht="16.5" customHeight="1" x14ac:dyDescent="0.3">
      <c r="A16" s="477" t="s">
        <v>1</v>
      </c>
      <c r="B16" s="478" t="s">
        <v>2</v>
      </c>
    </row>
    <row r="17" spans="1:5" ht="16.5" customHeight="1" x14ac:dyDescent="0.3">
      <c r="A17" s="479" t="s">
        <v>3</v>
      </c>
      <c r="B17" s="479" t="s">
        <v>131</v>
      </c>
      <c r="D17" s="480"/>
      <c r="E17" s="481"/>
    </row>
    <row r="18" spans="1:5" ht="16.5" customHeight="1" x14ac:dyDescent="0.3">
      <c r="A18" s="482" t="s">
        <v>4</v>
      </c>
      <c r="B18" s="484" t="s">
        <v>137</v>
      </c>
      <c r="C18" s="481"/>
      <c r="D18" s="481"/>
      <c r="E18" s="481"/>
    </row>
    <row r="19" spans="1:5" ht="16.5" customHeight="1" x14ac:dyDescent="0.3">
      <c r="A19" s="482" t="s">
        <v>6</v>
      </c>
      <c r="B19" s="484">
        <v>99.3</v>
      </c>
      <c r="C19" s="481"/>
      <c r="D19" s="481"/>
      <c r="E19" s="481"/>
    </row>
    <row r="20" spans="1:5" ht="16.5" customHeight="1" x14ac:dyDescent="0.3">
      <c r="A20" s="479" t="s">
        <v>8</v>
      </c>
      <c r="B20" s="484">
        <v>20.420000000000002</v>
      </c>
      <c r="C20" s="481"/>
      <c r="D20" s="481"/>
      <c r="E20" s="481"/>
    </row>
    <row r="21" spans="1:5" ht="16.5" customHeight="1" x14ac:dyDescent="0.3">
      <c r="A21" s="479" t="s">
        <v>10</v>
      </c>
      <c r="B21" s="485">
        <f>20.42/25*4/100</f>
        <v>3.2672000000000007E-2</v>
      </c>
      <c r="C21" s="481"/>
      <c r="D21" s="481"/>
      <c r="E21" s="481"/>
    </row>
    <row r="22" spans="1:5" ht="15.75" customHeight="1" x14ac:dyDescent="0.25">
      <c r="A22" s="481"/>
      <c r="B22" s="481"/>
      <c r="C22" s="481"/>
      <c r="D22" s="481"/>
      <c r="E22" s="481"/>
    </row>
    <row r="23" spans="1:5" ht="16.5" customHeight="1" x14ac:dyDescent="0.3">
      <c r="A23" s="486" t="s">
        <v>13</v>
      </c>
      <c r="B23" s="487" t="s">
        <v>14</v>
      </c>
      <c r="C23" s="486" t="s">
        <v>15</v>
      </c>
      <c r="D23" s="486" t="s">
        <v>16</v>
      </c>
      <c r="E23" s="486" t="s">
        <v>17</v>
      </c>
    </row>
    <row r="24" spans="1:5" ht="16.5" customHeight="1" x14ac:dyDescent="0.3">
      <c r="A24" s="489">
        <v>1</v>
      </c>
      <c r="B24" s="490">
        <v>4507415</v>
      </c>
      <c r="C24" s="490">
        <v>5324.61</v>
      </c>
      <c r="D24" s="491">
        <v>1.69</v>
      </c>
      <c r="E24" s="492">
        <v>4.4000000000000004</v>
      </c>
    </row>
    <row r="25" spans="1:5" ht="16.5" customHeight="1" x14ac:dyDescent="0.3">
      <c r="A25" s="489">
        <v>2</v>
      </c>
      <c r="B25" s="490">
        <v>4538812</v>
      </c>
      <c r="C25" s="490">
        <v>5343.17</v>
      </c>
      <c r="D25" s="491">
        <v>1.71</v>
      </c>
      <c r="E25" s="491">
        <v>4.4000000000000004</v>
      </c>
    </row>
    <row r="26" spans="1:5" ht="16.5" customHeight="1" x14ac:dyDescent="0.3">
      <c r="A26" s="489">
        <v>3</v>
      </c>
      <c r="B26" s="490">
        <v>4512042</v>
      </c>
      <c r="C26" s="490">
        <v>5359.96</v>
      </c>
      <c r="D26" s="491">
        <v>1.71</v>
      </c>
      <c r="E26" s="491">
        <v>4.4000000000000004</v>
      </c>
    </row>
    <row r="27" spans="1:5" ht="16.5" customHeight="1" x14ac:dyDescent="0.3">
      <c r="A27" s="489">
        <v>4</v>
      </c>
      <c r="B27" s="490">
        <v>4517258</v>
      </c>
      <c r="C27" s="490">
        <v>5256.01</v>
      </c>
      <c r="D27" s="491">
        <v>1.77</v>
      </c>
      <c r="E27" s="491">
        <v>4.4000000000000004</v>
      </c>
    </row>
    <row r="28" spans="1:5" ht="16.5" customHeight="1" x14ac:dyDescent="0.3">
      <c r="A28" s="489">
        <v>5</v>
      </c>
      <c r="B28" s="490">
        <v>4528267</v>
      </c>
      <c r="C28" s="490">
        <v>5400.77</v>
      </c>
      <c r="D28" s="491">
        <v>1.74</v>
      </c>
      <c r="E28" s="491">
        <v>4.4000000000000004</v>
      </c>
    </row>
    <row r="29" spans="1:5" ht="16.5" customHeight="1" x14ac:dyDescent="0.3">
      <c r="A29" s="489">
        <v>6</v>
      </c>
      <c r="B29" s="493">
        <v>4532039</v>
      </c>
      <c r="C29" s="493">
        <v>5390.1</v>
      </c>
      <c r="D29" s="494">
        <v>1.74</v>
      </c>
      <c r="E29" s="494">
        <v>4.4000000000000004</v>
      </c>
    </row>
    <row r="30" spans="1:5" ht="16.5" customHeight="1" x14ac:dyDescent="0.3">
      <c r="A30" s="495" t="s">
        <v>18</v>
      </c>
      <c r="B30" s="496">
        <f>AVERAGE(B24:B29)</f>
        <v>4522638.833333333</v>
      </c>
      <c r="C30" s="497">
        <f>AVERAGE(C24:C29)</f>
        <v>5345.77</v>
      </c>
      <c r="D30" s="498">
        <f>AVERAGE(D24:D29)</f>
        <v>1.7266666666666666</v>
      </c>
      <c r="E30" s="498">
        <f>AVERAGE(E24:E29)</f>
        <v>4.3999999999999995</v>
      </c>
    </row>
    <row r="31" spans="1:5" ht="16.5" customHeight="1" x14ac:dyDescent="0.3">
      <c r="A31" s="499" t="s">
        <v>19</v>
      </c>
      <c r="B31" s="500">
        <f>(STDEV(B24:B29)/B30)</f>
        <v>2.7163632015678382E-3</v>
      </c>
      <c r="C31" s="501"/>
      <c r="D31" s="501"/>
      <c r="E31" s="502"/>
    </row>
    <row r="32" spans="1:5" s="474" customFormat="1" ht="16.5" customHeight="1" x14ac:dyDescent="0.3">
      <c r="A32" s="503" t="s">
        <v>20</v>
      </c>
      <c r="B32" s="504">
        <f>COUNT(B24:B29)</f>
        <v>6</v>
      </c>
      <c r="C32" s="505"/>
      <c r="D32" s="506"/>
      <c r="E32" s="507"/>
    </row>
    <row r="33" spans="1:5" s="474" customFormat="1" ht="15.75" customHeight="1" x14ac:dyDescent="0.25">
      <c r="A33" s="481"/>
      <c r="B33" s="481"/>
      <c r="C33" s="481"/>
      <c r="D33" s="481"/>
      <c r="E33" s="481"/>
    </row>
    <row r="34" spans="1:5" s="474" customFormat="1" ht="16.5" customHeight="1" x14ac:dyDescent="0.3">
      <c r="A34" s="482" t="s">
        <v>21</v>
      </c>
      <c r="B34" s="508" t="s">
        <v>22</v>
      </c>
      <c r="C34" s="509"/>
      <c r="D34" s="509"/>
      <c r="E34" s="509"/>
    </row>
    <row r="35" spans="1:5" ht="16.5" customHeight="1" x14ac:dyDescent="0.3">
      <c r="A35" s="482"/>
      <c r="B35" s="508" t="s">
        <v>23</v>
      </c>
      <c r="C35" s="509"/>
      <c r="D35" s="509"/>
      <c r="E35" s="509"/>
    </row>
    <row r="36" spans="1:5" ht="16.5" customHeight="1" x14ac:dyDescent="0.3">
      <c r="A36" s="482"/>
      <c r="B36" s="508" t="s">
        <v>24</v>
      </c>
      <c r="C36" s="509"/>
      <c r="D36" s="509"/>
      <c r="E36" s="509"/>
    </row>
    <row r="37" spans="1:5" ht="15.75" customHeight="1" x14ac:dyDescent="0.3">
      <c r="A37" s="481"/>
      <c r="B37" s="510" t="s">
        <v>134</v>
      </c>
      <c r="C37" s="481"/>
      <c r="D37" s="481"/>
      <c r="E37" s="481"/>
    </row>
    <row r="38" spans="1:5" ht="16.5" customHeight="1" x14ac:dyDescent="0.3">
      <c r="A38" s="477" t="s">
        <v>1</v>
      </c>
      <c r="B38" s="478" t="s">
        <v>25</v>
      </c>
    </row>
    <row r="39" spans="1:5" ht="16.5" customHeight="1" x14ac:dyDescent="0.3">
      <c r="A39" s="482" t="s">
        <v>4</v>
      </c>
      <c r="B39" s="479"/>
      <c r="C39" s="481"/>
      <c r="D39" s="481"/>
      <c r="E39" s="481"/>
    </row>
    <row r="40" spans="1:5" ht="16.5" customHeight="1" x14ac:dyDescent="0.3">
      <c r="A40" s="482" t="s">
        <v>6</v>
      </c>
      <c r="B40" s="484"/>
      <c r="C40" s="481"/>
      <c r="D40" s="481"/>
      <c r="E40" s="481"/>
    </row>
    <row r="41" spans="1:5" ht="16.5" customHeight="1" x14ac:dyDescent="0.3">
      <c r="A41" s="479" t="s">
        <v>8</v>
      </c>
      <c r="B41" s="484"/>
      <c r="C41" s="481"/>
      <c r="D41" s="481"/>
      <c r="E41" s="481"/>
    </row>
    <row r="42" spans="1:5" ht="16.5" customHeight="1" x14ac:dyDescent="0.3">
      <c r="A42" s="479" t="s">
        <v>10</v>
      </c>
      <c r="B42" s="485"/>
      <c r="C42" s="481"/>
      <c r="D42" s="481"/>
      <c r="E42" s="481"/>
    </row>
    <row r="43" spans="1:5" ht="15.75" customHeight="1" x14ac:dyDescent="0.25">
      <c r="A43" s="481"/>
      <c r="B43" s="481"/>
      <c r="C43" s="481"/>
      <c r="D43" s="481"/>
      <c r="E43" s="481"/>
    </row>
    <row r="44" spans="1:5" ht="16.5" customHeight="1" x14ac:dyDescent="0.3">
      <c r="A44" s="486" t="s">
        <v>13</v>
      </c>
      <c r="B44" s="487" t="s">
        <v>14</v>
      </c>
      <c r="C44" s="486" t="s">
        <v>15</v>
      </c>
      <c r="D44" s="486" t="s">
        <v>16</v>
      </c>
      <c r="E44" s="486" t="s">
        <v>17</v>
      </c>
    </row>
    <row r="45" spans="1:5" ht="16.5" customHeight="1" x14ac:dyDescent="0.3">
      <c r="A45" s="489">
        <v>1</v>
      </c>
      <c r="B45" s="490"/>
      <c r="C45" s="490"/>
      <c r="D45" s="491"/>
      <c r="E45" s="492"/>
    </row>
    <row r="46" spans="1:5" ht="16.5" customHeight="1" x14ac:dyDescent="0.3">
      <c r="A46" s="489">
        <v>2</v>
      </c>
      <c r="B46" s="490"/>
      <c r="C46" s="490"/>
      <c r="D46" s="491"/>
      <c r="E46" s="491"/>
    </row>
    <row r="47" spans="1:5" ht="16.5" customHeight="1" x14ac:dyDescent="0.3">
      <c r="A47" s="489">
        <v>3</v>
      </c>
      <c r="B47" s="490"/>
      <c r="C47" s="490"/>
      <c r="D47" s="491"/>
      <c r="E47" s="491"/>
    </row>
    <row r="48" spans="1:5" ht="16.5" customHeight="1" x14ac:dyDescent="0.3">
      <c r="A48" s="489">
        <v>4</v>
      </c>
      <c r="B48" s="490"/>
      <c r="C48" s="490"/>
      <c r="D48" s="491"/>
      <c r="E48" s="491"/>
    </row>
    <row r="49" spans="1:7" ht="16.5" customHeight="1" x14ac:dyDescent="0.3">
      <c r="A49" s="489">
        <v>5</v>
      </c>
      <c r="B49" s="490"/>
      <c r="C49" s="490"/>
      <c r="D49" s="491"/>
      <c r="E49" s="491"/>
    </row>
    <row r="50" spans="1:7" ht="16.5" customHeight="1" x14ac:dyDescent="0.3">
      <c r="A50" s="489">
        <v>6</v>
      </c>
      <c r="B50" s="493"/>
      <c r="C50" s="493"/>
      <c r="D50" s="494"/>
      <c r="E50" s="494"/>
    </row>
    <row r="51" spans="1:7" ht="16.5" customHeight="1" x14ac:dyDescent="0.3">
      <c r="A51" s="495" t="s">
        <v>18</v>
      </c>
      <c r="B51" s="496" t="e">
        <f>AVERAGE(B45:B50)</f>
        <v>#DIV/0!</v>
      </c>
      <c r="C51" s="497" t="e">
        <f>AVERAGE(C45:C50)</f>
        <v>#DIV/0!</v>
      </c>
      <c r="D51" s="498" t="e">
        <f>AVERAGE(D45:D50)</f>
        <v>#DIV/0!</v>
      </c>
      <c r="E51" s="498" t="e">
        <f>AVERAGE(E45:E50)</f>
        <v>#DIV/0!</v>
      </c>
    </row>
    <row r="52" spans="1:7" ht="16.5" customHeight="1" x14ac:dyDescent="0.3">
      <c r="A52" s="499" t="s">
        <v>19</v>
      </c>
      <c r="B52" s="500" t="e">
        <f>(STDEV(B45:B50)/B51)</f>
        <v>#DIV/0!</v>
      </c>
      <c r="C52" s="501"/>
      <c r="D52" s="501"/>
      <c r="E52" s="502"/>
    </row>
    <row r="53" spans="1:7" s="474" customFormat="1" ht="16.5" customHeight="1" x14ac:dyDescent="0.3">
      <c r="A53" s="503" t="s">
        <v>20</v>
      </c>
      <c r="B53" s="504">
        <f>COUNT(B45:B50)</f>
        <v>0</v>
      </c>
      <c r="C53" s="505"/>
      <c r="D53" s="506"/>
      <c r="E53" s="507"/>
    </row>
    <row r="54" spans="1:7" s="474" customFormat="1" ht="15.75" customHeight="1" x14ac:dyDescent="0.25">
      <c r="A54" s="481"/>
      <c r="B54" s="481"/>
      <c r="C54" s="481"/>
      <c r="D54" s="481"/>
      <c r="E54" s="481"/>
    </row>
    <row r="55" spans="1:7" s="474" customFormat="1" ht="16.5" customHeight="1" x14ac:dyDescent="0.3">
      <c r="A55" s="482" t="s">
        <v>21</v>
      </c>
      <c r="B55" s="508" t="s">
        <v>22</v>
      </c>
      <c r="C55" s="509"/>
      <c r="D55" s="509"/>
      <c r="E55" s="509"/>
    </row>
    <row r="56" spans="1:7" ht="16.5" customHeight="1" x14ac:dyDescent="0.3">
      <c r="A56" s="482"/>
      <c r="B56" s="508" t="s">
        <v>23</v>
      </c>
      <c r="C56" s="509"/>
      <c r="D56" s="509"/>
      <c r="E56" s="509"/>
    </row>
    <row r="57" spans="1:7" ht="16.5" customHeight="1" x14ac:dyDescent="0.3">
      <c r="A57" s="482"/>
      <c r="B57" s="508" t="s">
        <v>24</v>
      </c>
      <c r="C57" s="509"/>
      <c r="D57" s="509"/>
      <c r="E57" s="509"/>
    </row>
    <row r="58" spans="1:7" ht="14.25" customHeight="1" thickBot="1" x14ac:dyDescent="0.35">
      <c r="A58" s="511"/>
      <c r="B58" s="510" t="s">
        <v>134</v>
      </c>
      <c r="D58" s="512"/>
      <c r="F58" s="514"/>
      <c r="G58" s="514"/>
    </row>
    <row r="59" spans="1:7" ht="15" customHeight="1" x14ac:dyDescent="0.3">
      <c r="B59" s="515" t="s">
        <v>26</v>
      </c>
      <c r="C59" s="515"/>
      <c r="E59" s="516" t="s">
        <v>27</v>
      </c>
      <c r="F59" s="517"/>
      <c r="G59" s="516" t="s">
        <v>28</v>
      </c>
    </row>
    <row r="60" spans="1:7" ht="15" customHeight="1" x14ac:dyDescent="0.3">
      <c r="A60" s="518" t="s">
        <v>29</v>
      </c>
      <c r="B60" s="520" t="s">
        <v>136</v>
      </c>
      <c r="C60" s="520"/>
      <c r="E60" s="520"/>
      <c r="G60" s="520"/>
    </row>
    <row r="61" spans="1:7" ht="15" customHeight="1" x14ac:dyDescent="0.3">
      <c r="A61" s="518" t="s">
        <v>30</v>
      </c>
      <c r="B61" s="521"/>
      <c r="C61" s="521"/>
      <c r="E61" s="521"/>
      <c r="G61" s="52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E30" sqref="E3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7" t="s">
        <v>31</v>
      </c>
      <c r="B11" s="428"/>
      <c r="C11" s="428"/>
      <c r="D11" s="428"/>
      <c r="E11" s="428"/>
      <c r="F11" s="429"/>
      <c r="G11" s="43"/>
    </row>
    <row r="12" spans="1:7" ht="16.5" customHeight="1" x14ac:dyDescent="0.3">
      <c r="A12" s="426" t="s">
        <v>32</v>
      </c>
      <c r="B12" s="426"/>
      <c r="C12" s="426"/>
      <c r="D12" s="426"/>
      <c r="E12" s="426"/>
      <c r="F12" s="426"/>
      <c r="G12" s="42"/>
    </row>
    <row r="14" spans="1:7" ht="16.5" customHeight="1" x14ac:dyDescent="0.3">
      <c r="A14" s="431" t="s">
        <v>33</v>
      </c>
      <c r="B14" s="431"/>
      <c r="C14" s="12" t="s">
        <v>5</v>
      </c>
    </row>
    <row r="15" spans="1:7" ht="16.5" customHeight="1" x14ac:dyDescent="0.3">
      <c r="A15" s="431" t="s">
        <v>34</v>
      </c>
      <c r="B15" s="431"/>
      <c r="C15" s="12" t="s">
        <v>7</v>
      </c>
    </row>
    <row r="16" spans="1:7" ht="16.5" customHeight="1" x14ac:dyDescent="0.3">
      <c r="A16" s="431" t="s">
        <v>35</v>
      </c>
      <c r="B16" s="431"/>
      <c r="C16" s="12" t="s">
        <v>9</v>
      </c>
    </row>
    <row r="17" spans="1:5" ht="16.5" customHeight="1" x14ac:dyDescent="0.3">
      <c r="A17" s="431" t="s">
        <v>36</v>
      </c>
      <c r="B17" s="431"/>
      <c r="C17" s="12" t="s">
        <v>11</v>
      </c>
    </row>
    <row r="18" spans="1:5" ht="16.5" customHeight="1" x14ac:dyDescent="0.3">
      <c r="A18" s="431" t="s">
        <v>37</v>
      </c>
      <c r="B18" s="431"/>
      <c r="C18" s="49" t="s">
        <v>12</v>
      </c>
    </row>
    <row r="19" spans="1:5" ht="16.5" customHeight="1" x14ac:dyDescent="0.3">
      <c r="A19" s="431" t="s">
        <v>38</v>
      </c>
      <c r="B19" s="43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26" t="s">
        <v>1</v>
      </c>
      <c r="B21" s="426"/>
      <c r="C21" s="11" t="s">
        <v>39</v>
      </c>
      <c r="D21" s="18"/>
    </row>
    <row r="22" spans="1:5" ht="15.75" customHeight="1" x14ac:dyDescent="0.3">
      <c r="A22" s="430"/>
      <c r="B22" s="430"/>
      <c r="C22" s="9"/>
      <c r="D22" s="430"/>
      <c r="E22" s="430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1039.78</v>
      </c>
      <c r="D24" s="39">
        <f t="shared" ref="D24:D43" si="0">(C24-$C$46)/$C$46</f>
        <v>-1.0107298776362635E-3</v>
      </c>
      <c r="E24" s="5"/>
    </row>
    <row r="25" spans="1:5" ht="15.75" customHeight="1" x14ac:dyDescent="0.3">
      <c r="C25" s="47">
        <v>1044.01</v>
      </c>
      <c r="D25" s="40">
        <f t="shared" si="0"/>
        <v>3.0533265695137268E-3</v>
      </c>
      <c r="E25" s="5"/>
    </row>
    <row r="26" spans="1:5" ht="15.75" customHeight="1" x14ac:dyDescent="0.3">
      <c r="C26" s="47">
        <v>1026.8499999999999</v>
      </c>
      <c r="D26" s="40">
        <f t="shared" si="0"/>
        <v>-1.3433483982045106E-2</v>
      </c>
      <c r="E26" s="5"/>
    </row>
    <row r="27" spans="1:5" ht="15.75" customHeight="1" x14ac:dyDescent="0.3">
      <c r="C27" s="47">
        <v>1033.1600000000001</v>
      </c>
      <c r="D27" s="40">
        <f t="shared" si="0"/>
        <v>-7.3710262559181488E-3</v>
      </c>
      <c r="E27" s="5"/>
    </row>
    <row r="28" spans="1:5" ht="15.75" customHeight="1" x14ac:dyDescent="0.3">
      <c r="C28" s="47">
        <v>1047.07</v>
      </c>
      <c r="D28" s="40">
        <f t="shared" si="0"/>
        <v>5.9932822972391863E-3</v>
      </c>
      <c r="E28" s="5"/>
    </row>
    <row r="29" spans="1:5" ht="15.75" customHeight="1" x14ac:dyDescent="0.3">
      <c r="C29" s="47">
        <v>1039.07</v>
      </c>
      <c r="D29" s="40">
        <f t="shared" si="0"/>
        <v>-1.6928764680562702E-3</v>
      </c>
      <c r="E29" s="5"/>
    </row>
    <row r="30" spans="1:5" ht="15.75" customHeight="1" x14ac:dyDescent="0.3">
      <c r="C30" s="47">
        <v>1036.83</v>
      </c>
      <c r="D30" s="40">
        <f t="shared" si="0"/>
        <v>-3.8450009223390067E-3</v>
      </c>
      <c r="E30" s="5"/>
    </row>
    <row r="31" spans="1:5" ht="15.75" customHeight="1" x14ac:dyDescent="0.3">
      <c r="C31" s="47">
        <v>1036.3900000000001</v>
      </c>
      <c r="D31" s="40">
        <f t="shared" si="0"/>
        <v>-4.2677396544300913E-3</v>
      </c>
      <c r="E31" s="5"/>
    </row>
    <row r="32" spans="1:5" ht="15.75" customHeight="1" x14ac:dyDescent="0.3">
      <c r="C32" s="47">
        <v>1056.71</v>
      </c>
      <c r="D32" s="40">
        <f t="shared" si="0"/>
        <v>1.5255103609420308E-2</v>
      </c>
      <c r="E32" s="5"/>
    </row>
    <row r="33" spans="1:7" ht="15.75" customHeight="1" x14ac:dyDescent="0.3">
      <c r="C33" s="47">
        <v>1047.94</v>
      </c>
      <c r="D33" s="40">
        <f t="shared" si="0"/>
        <v>6.8291520629651815E-3</v>
      </c>
      <c r="E33" s="5"/>
    </row>
    <row r="34" spans="1:7" ht="15.75" customHeight="1" x14ac:dyDescent="0.3">
      <c r="C34" s="47">
        <v>1032.9100000000001</v>
      </c>
      <c r="D34" s="40">
        <f t="shared" si="0"/>
        <v>-7.6112187173336321E-3</v>
      </c>
      <c r="E34" s="5"/>
    </row>
    <row r="35" spans="1:7" ht="15.75" customHeight="1" x14ac:dyDescent="0.3">
      <c r="C35" s="47">
        <v>1042.74</v>
      </c>
      <c r="D35" s="40">
        <f t="shared" si="0"/>
        <v>1.8331488655230906E-3</v>
      </c>
      <c r="E35" s="5"/>
    </row>
    <row r="36" spans="1:7" ht="15.75" customHeight="1" x14ac:dyDescent="0.3">
      <c r="C36" s="47">
        <v>1043.9000000000001</v>
      </c>
      <c r="D36" s="40">
        <f t="shared" si="0"/>
        <v>2.9476418864910103E-3</v>
      </c>
      <c r="E36" s="5"/>
    </row>
    <row r="37" spans="1:7" ht="15.75" customHeight="1" x14ac:dyDescent="0.3">
      <c r="C37" s="47">
        <v>1029.9100000000001</v>
      </c>
      <c r="D37" s="40">
        <f t="shared" si="0"/>
        <v>-1.0493528254319429E-2</v>
      </c>
      <c r="E37" s="5"/>
    </row>
    <row r="38" spans="1:7" ht="15.75" customHeight="1" x14ac:dyDescent="0.3">
      <c r="C38" s="47">
        <v>1029.6300000000001</v>
      </c>
      <c r="D38" s="40">
        <f t="shared" si="0"/>
        <v>-1.0762543811104744E-2</v>
      </c>
      <c r="E38" s="5"/>
    </row>
    <row r="39" spans="1:7" ht="15.75" customHeight="1" x14ac:dyDescent="0.3">
      <c r="C39" s="47">
        <v>1048.25</v>
      </c>
      <c r="D39" s="40">
        <f t="shared" si="0"/>
        <v>7.1269907151203281E-3</v>
      </c>
      <c r="E39" s="5"/>
    </row>
    <row r="40" spans="1:7" ht="15.75" customHeight="1" x14ac:dyDescent="0.3">
      <c r="C40" s="47">
        <v>1050.54</v>
      </c>
      <c r="D40" s="40">
        <f t="shared" si="0"/>
        <v>9.3271536616861168E-3</v>
      </c>
      <c r="E40" s="5"/>
    </row>
    <row r="41" spans="1:7" ht="15.75" customHeight="1" x14ac:dyDescent="0.3">
      <c r="C41" s="47">
        <v>1036.3499999999999</v>
      </c>
      <c r="D41" s="40">
        <f t="shared" si="0"/>
        <v>-4.3061704482567518E-3</v>
      </c>
      <c r="E41" s="5"/>
    </row>
    <row r="42" spans="1:7" ht="15.75" customHeight="1" x14ac:dyDescent="0.3">
      <c r="C42" s="47">
        <v>1049.3499999999999</v>
      </c>
      <c r="D42" s="40">
        <f t="shared" si="0"/>
        <v>8.1838375453483648E-3</v>
      </c>
      <c r="E42" s="5"/>
    </row>
    <row r="43" spans="1:7" ht="16.5" customHeight="1" x14ac:dyDescent="0.3">
      <c r="C43" s="48">
        <v>1045.25</v>
      </c>
      <c r="D43" s="41">
        <f t="shared" si="0"/>
        <v>4.2446811781345316E-3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20816.639999999996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1040.8319999999999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24">
        <f>C46</f>
        <v>1040.8319999999999</v>
      </c>
      <c r="C49" s="45">
        <f>-IF(C46&lt;=80,10%,IF(C46&lt;250,7.5%,5%))</f>
        <v>-0.05</v>
      </c>
      <c r="D49" s="33">
        <f>IF(C46&lt;=80,C46*0.9,IF(C46&lt;250,C46*0.925,C46*0.95))</f>
        <v>988.79039999999986</v>
      </c>
    </row>
    <row r="50" spans="1:6" ht="17.25" customHeight="1" x14ac:dyDescent="0.3">
      <c r="B50" s="425"/>
      <c r="C50" s="46">
        <f>IF(C46&lt;=80, 10%, IF(C46&lt;250, 7.5%, 5%))</f>
        <v>0.05</v>
      </c>
      <c r="D50" s="33">
        <f>IF(C46&lt;=80, C46*1.1, IF(C46&lt;250, C46*1.075, C46*1.05))</f>
        <v>1092.8735999999999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A26" sqref="A2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32" t="s">
        <v>45</v>
      </c>
      <c r="B1" s="432"/>
      <c r="C1" s="432"/>
      <c r="D1" s="432"/>
      <c r="E1" s="432"/>
      <c r="F1" s="432"/>
      <c r="G1" s="432"/>
      <c r="H1" s="432"/>
      <c r="I1" s="432"/>
    </row>
    <row r="2" spans="1:9" ht="18.75" customHeight="1" x14ac:dyDescent="0.25">
      <c r="A2" s="432"/>
      <c r="B2" s="432"/>
      <c r="C2" s="432"/>
      <c r="D2" s="432"/>
      <c r="E2" s="432"/>
      <c r="F2" s="432"/>
      <c r="G2" s="432"/>
      <c r="H2" s="432"/>
      <c r="I2" s="432"/>
    </row>
    <row r="3" spans="1:9" ht="18.75" customHeight="1" x14ac:dyDescent="0.25">
      <c r="A3" s="432"/>
      <c r="B3" s="432"/>
      <c r="C3" s="432"/>
      <c r="D3" s="432"/>
      <c r="E3" s="432"/>
      <c r="F3" s="432"/>
      <c r="G3" s="432"/>
      <c r="H3" s="432"/>
      <c r="I3" s="432"/>
    </row>
    <row r="4" spans="1:9" ht="18.75" customHeight="1" x14ac:dyDescent="0.25">
      <c r="A4" s="432"/>
      <c r="B4" s="432"/>
      <c r="C4" s="432"/>
      <c r="D4" s="432"/>
      <c r="E4" s="432"/>
      <c r="F4" s="432"/>
      <c r="G4" s="432"/>
      <c r="H4" s="432"/>
      <c r="I4" s="432"/>
    </row>
    <row r="5" spans="1:9" ht="18.75" customHeight="1" x14ac:dyDescent="0.25">
      <c r="A5" s="432"/>
      <c r="B5" s="432"/>
      <c r="C5" s="432"/>
      <c r="D5" s="432"/>
      <c r="E5" s="432"/>
      <c r="F5" s="432"/>
      <c r="G5" s="432"/>
      <c r="H5" s="432"/>
      <c r="I5" s="432"/>
    </row>
    <row r="6" spans="1:9" ht="18.75" customHeight="1" x14ac:dyDescent="0.25">
      <c r="A6" s="432"/>
      <c r="B6" s="432"/>
      <c r="C6" s="432"/>
      <c r="D6" s="432"/>
      <c r="E6" s="432"/>
      <c r="F6" s="432"/>
      <c r="G6" s="432"/>
      <c r="H6" s="432"/>
      <c r="I6" s="432"/>
    </row>
    <row r="7" spans="1:9" ht="18.75" customHeight="1" x14ac:dyDescent="0.25">
      <c r="A7" s="432"/>
      <c r="B7" s="432"/>
      <c r="C7" s="432"/>
      <c r="D7" s="432"/>
      <c r="E7" s="432"/>
      <c r="F7" s="432"/>
      <c r="G7" s="432"/>
      <c r="H7" s="432"/>
      <c r="I7" s="432"/>
    </row>
    <row r="8" spans="1:9" x14ac:dyDescent="0.25">
      <c r="A8" s="433" t="s">
        <v>46</v>
      </c>
      <c r="B8" s="433"/>
      <c r="C8" s="433"/>
      <c r="D8" s="433"/>
      <c r="E8" s="433"/>
      <c r="F8" s="433"/>
      <c r="G8" s="433"/>
      <c r="H8" s="433"/>
      <c r="I8" s="433"/>
    </row>
    <row r="9" spans="1:9" x14ac:dyDescent="0.25">
      <c r="A9" s="433"/>
      <c r="B9" s="433"/>
      <c r="C9" s="433"/>
      <c r="D9" s="433"/>
      <c r="E9" s="433"/>
      <c r="F9" s="433"/>
      <c r="G9" s="433"/>
      <c r="H9" s="433"/>
      <c r="I9" s="433"/>
    </row>
    <row r="10" spans="1:9" x14ac:dyDescent="0.25">
      <c r="A10" s="433"/>
      <c r="B10" s="433"/>
      <c r="C10" s="433"/>
      <c r="D10" s="433"/>
      <c r="E10" s="433"/>
      <c r="F10" s="433"/>
      <c r="G10" s="433"/>
      <c r="H10" s="433"/>
      <c r="I10" s="433"/>
    </row>
    <row r="11" spans="1:9" x14ac:dyDescent="0.25">
      <c r="A11" s="433"/>
      <c r="B11" s="433"/>
      <c r="C11" s="433"/>
      <c r="D11" s="433"/>
      <c r="E11" s="433"/>
      <c r="F11" s="433"/>
      <c r="G11" s="433"/>
      <c r="H11" s="433"/>
      <c r="I11" s="433"/>
    </row>
    <row r="12" spans="1:9" x14ac:dyDescent="0.25">
      <c r="A12" s="433"/>
      <c r="B12" s="433"/>
      <c r="C12" s="433"/>
      <c r="D12" s="433"/>
      <c r="E12" s="433"/>
      <c r="F12" s="433"/>
      <c r="G12" s="433"/>
      <c r="H12" s="433"/>
      <c r="I12" s="433"/>
    </row>
    <row r="13" spans="1:9" x14ac:dyDescent="0.25">
      <c r="A13" s="433"/>
      <c r="B13" s="433"/>
      <c r="C13" s="433"/>
      <c r="D13" s="433"/>
      <c r="E13" s="433"/>
      <c r="F13" s="433"/>
      <c r="G13" s="433"/>
      <c r="H13" s="433"/>
      <c r="I13" s="433"/>
    </row>
    <row r="14" spans="1:9" x14ac:dyDescent="0.25">
      <c r="A14" s="433"/>
      <c r="B14" s="433"/>
      <c r="C14" s="433"/>
      <c r="D14" s="433"/>
      <c r="E14" s="433"/>
      <c r="F14" s="433"/>
      <c r="G14" s="433"/>
      <c r="H14" s="433"/>
      <c r="I14" s="433"/>
    </row>
    <row r="15" spans="1:9" ht="19.5" customHeight="1" x14ac:dyDescent="0.3">
      <c r="A15" s="50"/>
    </row>
    <row r="16" spans="1:9" ht="19.5" customHeight="1" x14ac:dyDescent="0.3">
      <c r="A16" s="465" t="s">
        <v>31</v>
      </c>
      <c r="B16" s="466"/>
      <c r="C16" s="466"/>
      <c r="D16" s="466"/>
      <c r="E16" s="466"/>
      <c r="F16" s="466"/>
      <c r="G16" s="466"/>
      <c r="H16" s="467"/>
    </row>
    <row r="17" spans="1:14" ht="20.25" customHeight="1" x14ac:dyDescent="0.25">
      <c r="A17" s="468" t="s">
        <v>47</v>
      </c>
      <c r="B17" s="468"/>
      <c r="C17" s="468"/>
      <c r="D17" s="468"/>
      <c r="E17" s="468"/>
      <c r="F17" s="468"/>
      <c r="G17" s="468"/>
      <c r="H17" s="468"/>
    </row>
    <row r="18" spans="1:14" ht="26.25" customHeight="1" x14ac:dyDescent="0.4">
      <c r="A18" s="52" t="s">
        <v>33</v>
      </c>
      <c r="B18" s="464" t="s">
        <v>5</v>
      </c>
      <c r="C18" s="464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69" t="s">
        <v>138</v>
      </c>
      <c r="C20" s="46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69" t="s">
        <v>142</v>
      </c>
      <c r="C21" s="469"/>
      <c r="D21" s="469"/>
      <c r="E21" s="469"/>
      <c r="F21" s="469"/>
      <c r="G21" s="469"/>
      <c r="H21" s="469"/>
      <c r="I21" s="56"/>
    </row>
    <row r="22" spans="1:14" ht="26.25" customHeight="1" x14ac:dyDescent="0.4">
      <c r="A22" s="52" t="s">
        <v>37</v>
      </c>
      <c r="B22" s="57">
        <v>42653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244">
        <v>42660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69" t="s">
        <v>138</v>
      </c>
      <c r="C26" s="469"/>
    </row>
    <row r="27" spans="1:14" ht="26.25" customHeight="1" x14ac:dyDescent="0.4">
      <c r="A27" s="61" t="s">
        <v>48</v>
      </c>
      <c r="B27" s="470" t="s">
        <v>139</v>
      </c>
      <c r="C27" s="470"/>
    </row>
    <row r="28" spans="1:14" ht="27" customHeight="1" x14ac:dyDescent="0.4">
      <c r="A28" s="61" t="s">
        <v>6</v>
      </c>
      <c r="B28" s="62">
        <v>99.8</v>
      </c>
    </row>
    <row r="29" spans="1:14" s="3" customFormat="1" ht="27" customHeight="1" x14ac:dyDescent="0.4">
      <c r="A29" s="61" t="s">
        <v>49</v>
      </c>
      <c r="B29" s="63">
        <v>0</v>
      </c>
      <c r="C29" s="440" t="s">
        <v>50</v>
      </c>
      <c r="D29" s="441"/>
      <c r="E29" s="441"/>
      <c r="F29" s="441"/>
      <c r="G29" s="442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43" t="s">
        <v>53</v>
      </c>
      <c r="D31" s="444"/>
      <c r="E31" s="444"/>
      <c r="F31" s="444"/>
      <c r="G31" s="444"/>
      <c r="H31" s="445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43" t="s">
        <v>55</v>
      </c>
      <c r="D32" s="444"/>
      <c r="E32" s="444"/>
      <c r="F32" s="444"/>
      <c r="G32" s="444"/>
      <c r="H32" s="44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25</v>
      </c>
      <c r="C36" s="51"/>
      <c r="D36" s="446" t="s">
        <v>59</v>
      </c>
      <c r="E36" s="471"/>
      <c r="F36" s="446" t="s">
        <v>60</v>
      </c>
      <c r="G36" s="44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20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100</v>
      </c>
      <c r="C38" s="83">
        <v>1</v>
      </c>
      <c r="D38" s="84">
        <v>63838447</v>
      </c>
      <c r="E38" s="85">
        <f>IF(ISBLANK(D38),"-",$D$48/$D$45*D38)</f>
        <v>67868837.941134259</v>
      </c>
      <c r="F38" s="84">
        <v>66616918</v>
      </c>
      <c r="G38" s="86">
        <f>IF(ISBLANK(F38),"-",$D$48/$F$45*F38)</f>
        <v>66451387.593504578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61894204</v>
      </c>
      <c r="E39" s="90">
        <f>IF(ISBLANK(D39),"-",$D$48/$D$45*D39)</f>
        <v>65801846.664150588</v>
      </c>
      <c r="F39" s="89">
        <v>66571540</v>
      </c>
      <c r="G39" s="91">
        <f>IF(ISBLANK(F39),"-",$D$48/$F$45*F39)</f>
        <v>66406122.349228077</v>
      </c>
      <c r="I39" s="448">
        <f>ABS((F43/D43*D42)-F42)/D42</f>
        <v>9.7132389257859378E-4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62018536</v>
      </c>
      <c r="E40" s="90">
        <f>IF(ISBLANK(D40),"-",$D$48/$D$45*D40)</f>
        <v>65934028.268739074</v>
      </c>
      <c r="F40" s="89">
        <v>66731103</v>
      </c>
      <c r="G40" s="91">
        <f>IF(ISBLANK(F40),"-",$D$48/$F$45*F40)</f>
        <v>66565288.865436196</v>
      </c>
      <c r="I40" s="448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62583729</v>
      </c>
      <c r="E42" s="100">
        <f>AVERAGE(E38:E41)</f>
        <v>66534904.291341305</v>
      </c>
      <c r="F42" s="99">
        <f>AVERAGE(F38:F41)</f>
        <v>66639853.666666664</v>
      </c>
      <c r="G42" s="101">
        <f>AVERAGE(G38:G41)</f>
        <v>66474266.269389622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18.850000000000001</v>
      </c>
      <c r="E43" s="92"/>
      <c r="F43" s="104">
        <v>20.09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18.850000000000001</v>
      </c>
      <c r="E44" s="107"/>
      <c r="F44" s="106">
        <f>F43*$B$34</f>
        <v>20.09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125</v>
      </c>
      <c r="C45" s="105" t="s">
        <v>77</v>
      </c>
      <c r="D45" s="109">
        <f>D44*$B$30/100</f>
        <v>18.8123</v>
      </c>
      <c r="E45" s="110"/>
      <c r="F45" s="109">
        <f>F44*$B$30/100</f>
        <v>20.04982</v>
      </c>
      <c r="H45" s="102"/>
    </row>
    <row r="46" spans="1:14" ht="19.5" customHeight="1" x14ac:dyDescent="0.3">
      <c r="A46" s="434" t="s">
        <v>78</v>
      </c>
      <c r="B46" s="435"/>
      <c r="C46" s="105" t="s">
        <v>79</v>
      </c>
      <c r="D46" s="111">
        <f>D45/$B$45</f>
        <v>0.1504984</v>
      </c>
      <c r="E46" s="112"/>
      <c r="F46" s="113">
        <f>F45/$B$45</f>
        <v>0.16039856</v>
      </c>
      <c r="H46" s="102"/>
    </row>
    <row r="47" spans="1:14" ht="27" customHeight="1" x14ac:dyDescent="0.4">
      <c r="A47" s="436"/>
      <c r="B47" s="437"/>
      <c r="C47" s="114" t="s">
        <v>80</v>
      </c>
      <c r="D47" s="115">
        <v>0.16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20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20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66504585.28036546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1.1042960735870648E-2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tablet contains: Sulphamethoxazole B.P. 800 mg and Trimethoprim B.P. 160 mg.</v>
      </c>
    </row>
    <row r="56" spans="1:12" ht="26.25" customHeight="1" x14ac:dyDescent="0.4">
      <c r="A56" s="129" t="s">
        <v>87</v>
      </c>
      <c r="B56" s="130">
        <v>800</v>
      </c>
      <c r="C56" s="51" t="str">
        <f>B20</f>
        <v>Sulfamethoxazole</v>
      </c>
      <c r="H56" s="131"/>
    </row>
    <row r="57" spans="1:12" ht="18.75" x14ac:dyDescent="0.3">
      <c r="A57" s="128" t="s">
        <v>88</v>
      </c>
      <c r="B57" s="199">
        <f>Uniformity!C46</f>
        <v>1040.8319999999999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451" t="s">
        <v>94</v>
      </c>
      <c r="D60" s="454">
        <v>205.15</v>
      </c>
      <c r="E60" s="134">
        <v>1</v>
      </c>
      <c r="F60" s="135">
        <v>65620765</v>
      </c>
      <c r="G60" s="200">
        <f>IF(ISBLANK(F60),"-",(F60/$D$50*$D$47*$B$68)*($B$57/$D$60))</f>
        <v>800.97469697798624</v>
      </c>
      <c r="H60" s="218">
        <f t="shared" ref="H60:H71" si="0">IF(ISBLANK(F60),"-",(G60/$B$56)*100)</f>
        <v>100.12183712224827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452"/>
      <c r="D61" s="455"/>
      <c r="E61" s="136">
        <v>2</v>
      </c>
      <c r="F61" s="89">
        <v>65224068</v>
      </c>
      <c r="G61" s="201">
        <f>IF(ISBLANK(F61),"-",(F61/$D$50*$D$47*$B$68)*($B$57/$D$60))</f>
        <v>796.1325672136187</v>
      </c>
      <c r="H61" s="219">
        <f t="shared" si="0"/>
        <v>99.516570901702337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52"/>
      <c r="D62" s="455"/>
      <c r="E62" s="136">
        <v>3</v>
      </c>
      <c r="F62" s="137">
        <v>65006403</v>
      </c>
      <c r="G62" s="201">
        <f>IF(ISBLANK(F62),"-",(F62/$D$50*$D$47*$B$68)*($B$57/$D$60))</f>
        <v>793.47572288366132</v>
      </c>
      <c r="H62" s="219">
        <f t="shared" si="0"/>
        <v>99.184465360457665</v>
      </c>
      <c r="L62" s="64"/>
    </row>
    <row r="63" spans="1:12" ht="27" customHeight="1" x14ac:dyDescent="0.4">
      <c r="A63" s="76" t="s">
        <v>97</v>
      </c>
      <c r="B63" s="77">
        <v>1</v>
      </c>
      <c r="C63" s="461"/>
      <c r="D63" s="456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51" t="s">
        <v>99</v>
      </c>
      <c r="D64" s="454">
        <v>211.5</v>
      </c>
      <c r="E64" s="134">
        <v>1</v>
      </c>
      <c r="F64" s="135">
        <v>67817149</v>
      </c>
      <c r="G64" s="200">
        <f>IF(ISBLANK(F64),"-",(F64/$D$50*$D$47*$B$68)*($B$57/$D$64))</f>
        <v>802.93092594349423</v>
      </c>
      <c r="H64" s="218">
        <f t="shared" si="0"/>
        <v>100.36636574293678</v>
      </c>
    </row>
    <row r="65" spans="1:8" ht="26.25" customHeight="1" x14ac:dyDescent="0.4">
      <c r="A65" s="76" t="s">
        <v>100</v>
      </c>
      <c r="B65" s="77">
        <v>1</v>
      </c>
      <c r="C65" s="452"/>
      <c r="D65" s="455"/>
      <c r="E65" s="136">
        <v>2</v>
      </c>
      <c r="F65" s="89">
        <v>67407888</v>
      </c>
      <c r="G65" s="201">
        <f>IF(ISBLANK(F65),"-",(F65/$D$50*$D$47*$B$68)*($B$57/$D$64))</f>
        <v>798.08542125142037</v>
      </c>
      <c r="H65" s="219">
        <f t="shared" si="0"/>
        <v>99.760677656427546</v>
      </c>
    </row>
    <row r="66" spans="1:8" ht="26.25" customHeight="1" x14ac:dyDescent="0.4">
      <c r="A66" s="76" t="s">
        <v>101</v>
      </c>
      <c r="B66" s="77">
        <v>1</v>
      </c>
      <c r="C66" s="452"/>
      <c r="D66" s="455"/>
      <c r="E66" s="136">
        <v>3</v>
      </c>
      <c r="F66" s="89">
        <v>67541213</v>
      </c>
      <c r="G66" s="201">
        <f>IF(ISBLANK(F66),"-",(F66/$D$50*$D$47*$B$68)*($B$57/$D$64))</f>
        <v>799.66394183625698</v>
      </c>
      <c r="H66" s="219">
        <f t="shared" si="0"/>
        <v>99.957992729532123</v>
      </c>
    </row>
    <row r="67" spans="1:8" ht="27" customHeight="1" x14ac:dyDescent="0.4">
      <c r="A67" s="76" t="s">
        <v>102</v>
      </c>
      <c r="B67" s="77">
        <v>1</v>
      </c>
      <c r="C67" s="461"/>
      <c r="D67" s="456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451" t="s">
        <v>104</v>
      </c>
      <c r="D68" s="454">
        <v>208.44</v>
      </c>
      <c r="E68" s="134">
        <v>1</v>
      </c>
      <c r="F68" s="135">
        <v>65868017</v>
      </c>
      <c r="G68" s="200">
        <f>IF(ISBLANK(F68),"-",(F68/$D$50*$D$47*$B$68)*($B$57/$D$68))</f>
        <v>791.30252857320625</v>
      </c>
      <c r="H68" s="219">
        <f t="shared" si="0"/>
        <v>98.912816071650781</v>
      </c>
    </row>
    <row r="69" spans="1:8" ht="27" customHeight="1" x14ac:dyDescent="0.4">
      <c r="A69" s="124" t="s">
        <v>105</v>
      </c>
      <c r="B69" s="141">
        <f>(D47*B68)/B56*B57</f>
        <v>208.16639999999998</v>
      </c>
      <c r="C69" s="452"/>
      <c r="D69" s="455"/>
      <c r="E69" s="136">
        <v>2</v>
      </c>
      <c r="F69" s="89">
        <v>65425467</v>
      </c>
      <c r="G69" s="201">
        <f>IF(ISBLANK(F69),"-",(F69/$D$50*$D$47*$B$68)*($B$57/$D$68))</f>
        <v>785.9859735899272</v>
      </c>
      <c r="H69" s="219">
        <f t="shared" si="0"/>
        <v>98.2482466987409</v>
      </c>
    </row>
    <row r="70" spans="1:8" ht="26.25" customHeight="1" x14ac:dyDescent="0.4">
      <c r="A70" s="457" t="s">
        <v>78</v>
      </c>
      <c r="B70" s="458"/>
      <c r="C70" s="452"/>
      <c r="D70" s="455"/>
      <c r="E70" s="136">
        <v>3</v>
      </c>
      <c r="F70" s="89">
        <v>65540230</v>
      </c>
      <c r="G70" s="201">
        <f>IF(ISBLANK(F70),"-",(F70/$D$50*$D$47*$B$68)*($B$57/$D$68))</f>
        <v>787.36467384875903</v>
      </c>
      <c r="H70" s="219">
        <f t="shared" si="0"/>
        <v>98.420584231094878</v>
      </c>
    </row>
    <row r="71" spans="1:8" ht="27" customHeight="1" x14ac:dyDescent="0.4">
      <c r="A71" s="459"/>
      <c r="B71" s="460"/>
      <c r="C71" s="453"/>
      <c r="D71" s="456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795.10182801314784</v>
      </c>
      <c r="H72" s="221">
        <f>AVERAGE(H60:H71)</f>
        <v>99.38772850164348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7.5278886803518677E-3</v>
      </c>
      <c r="H73" s="205">
        <f>STDEV(H60:H71)/H72</f>
        <v>7.5278886803518503E-3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438" t="str">
        <f>B26</f>
        <v>Sulfamethoxazole</v>
      </c>
      <c r="D76" s="438"/>
      <c r="E76" s="150" t="s">
        <v>108</v>
      </c>
      <c r="F76" s="150"/>
      <c r="G76" s="151">
        <f>H72</f>
        <v>99.38772850164348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72" t="str">
        <f>B26</f>
        <v>Sulfamethoxazole</v>
      </c>
      <c r="C79" s="472"/>
    </row>
    <row r="80" spans="1:8" ht="26.25" customHeight="1" x14ac:dyDescent="0.4">
      <c r="A80" s="61" t="s">
        <v>48</v>
      </c>
      <c r="B80" s="472" t="str">
        <f>B27</f>
        <v>S12-4</v>
      </c>
      <c r="C80" s="472"/>
    </row>
    <row r="81" spans="1:12" ht="27" customHeight="1" x14ac:dyDescent="0.4">
      <c r="A81" s="61" t="s">
        <v>6</v>
      </c>
      <c r="B81" s="153">
        <f>B28</f>
        <v>99.8</v>
      </c>
    </row>
    <row r="82" spans="1:12" s="3" customFormat="1" ht="27" customHeight="1" x14ac:dyDescent="0.4">
      <c r="A82" s="61" t="s">
        <v>49</v>
      </c>
      <c r="B82" s="63">
        <v>0</v>
      </c>
      <c r="C82" s="440" t="s">
        <v>50</v>
      </c>
      <c r="D82" s="441"/>
      <c r="E82" s="441"/>
      <c r="F82" s="441"/>
      <c r="G82" s="442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43" t="s">
        <v>111</v>
      </c>
      <c r="D84" s="444"/>
      <c r="E84" s="444"/>
      <c r="F84" s="444"/>
      <c r="G84" s="444"/>
      <c r="H84" s="445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43" t="s">
        <v>112</v>
      </c>
      <c r="D85" s="444"/>
      <c r="E85" s="444"/>
      <c r="F85" s="444"/>
      <c r="G85" s="444"/>
      <c r="H85" s="445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25</v>
      </c>
      <c r="D89" s="154" t="s">
        <v>59</v>
      </c>
      <c r="E89" s="155"/>
      <c r="F89" s="446" t="s">
        <v>60</v>
      </c>
      <c r="G89" s="447"/>
    </row>
    <row r="90" spans="1:12" ht="27" customHeight="1" x14ac:dyDescent="0.4">
      <c r="A90" s="76" t="s">
        <v>61</v>
      </c>
      <c r="B90" s="77">
        <v>20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100</v>
      </c>
      <c r="C91" s="158">
        <v>1</v>
      </c>
      <c r="D91" s="84">
        <v>63838447</v>
      </c>
      <c r="E91" s="85">
        <f>IF(ISBLANK(D91),"-",$D$101/$D$98*D91)</f>
        <v>75409819.934593618</v>
      </c>
      <c r="F91" s="84">
        <v>66616918</v>
      </c>
      <c r="G91" s="86">
        <f>IF(ISBLANK(F91),"-",$D$101/$F$98*F91)</f>
        <v>73834875.10389398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61894204</v>
      </c>
      <c r="E92" s="90">
        <f>IF(ISBLANK(D92),"-",$D$101/$D$98*D92)</f>
        <v>73113162.960167319</v>
      </c>
      <c r="F92" s="89">
        <v>66571540</v>
      </c>
      <c r="G92" s="91">
        <f>IF(ISBLANK(F92),"-",$D$101/$F$98*F92)</f>
        <v>73784580.3880312</v>
      </c>
      <c r="I92" s="448">
        <f>ABS((F96/D96*D95)-F95)/D95</f>
        <v>9.7132389257859378E-4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62018536</v>
      </c>
      <c r="E93" s="90">
        <f>IF(ISBLANK(D93),"-",$D$101/$D$98*D93)</f>
        <v>73260031.409710079</v>
      </c>
      <c r="F93" s="89">
        <v>66731103</v>
      </c>
      <c r="G93" s="91">
        <f>IF(ISBLANK(F93),"-",$D$101/$F$98*F93)</f>
        <v>73961432.072706893</v>
      </c>
      <c r="I93" s="448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62583729</v>
      </c>
      <c r="E95" s="100">
        <f>AVERAGE(E91:E94)</f>
        <v>73927671.434823677</v>
      </c>
      <c r="F95" s="163">
        <f>AVERAGE(F91:F94)</f>
        <v>66639853.666666664</v>
      </c>
      <c r="G95" s="164">
        <f>AVERAGE(G91:G94)</f>
        <v>73860295.854877353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18.850000000000001</v>
      </c>
      <c r="E96" s="92"/>
      <c r="F96" s="104">
        <v>20.09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18.850000000000001</v>
      </c>
      <c r="E97" s="107"/>
      <c r="F97" s="106">
        <f>F96*$B$87</f>
        <v>20.09</v>
      </c>
    </row>
    <row r="98" spans="1:10" ht="19.5" customHeight="1" x14ac:dyDescent="0.3">
      <c r="A98" s="76" t="s">
        <v>76</v>
      </c>
      <c r="B98" s="169">
        <f>(B97/B96)*(B95/B94)*(B93/B92)*(B91/B90)*B89</f>
        <v>125</v>
      </c>
      <c r="C98" s="167" t="s">
        <v>115</v>
      </c>
      <c r="D98" s="170">
        <f>D97*$B$83/100</f>
        <v>18.8123</v>
      </c>
      <c r="E98" s="110"/>
      <c r="F98" s="109">
        <f>F97*$B$83/100</f>
        <v>20.04982</v>
      </c>
    </row>
    <row r="99" spans="1:10" ht="19.5" customHeight="1" x14ac:dyDescent="0.3">
      <c r="A99" s="434" t="s">
        <v>78</v>
      </c>
      <c r="B99" s="449"/>
      <c r="C99" s="167" t="s">
        <v>116</v>
      </c>
      <c r="D99" s="171">
        <f>D98/$B$98</f>
        <v>0.1504984</v>
      </c>
      <c r="E99" s="110"/>
      <c r="F99" s="113">
        <f>F98/$B$98</f>
        <v>0.16039856</v>
      </c>
      <c r="G99" s="172"/>
      <c r="H99" s="102"/>
    </row>
    <row r="100" spans="1:10" ht="19.5" customHeight="1" x14ac:dyDescent="0.3">
      <c r="A100" s="436"/>
      <c r="B100" s="450"/>
      <c r="C100" s="167" t="s">
        <v>80</v>
      </c>
      <c r="D100" s="173">
        <f>$B$56/$B$116</f>
        <v>0.17777777777777778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22.222222222222221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22.222222222222221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73893983.644850507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1.1042960735870645E-2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10</v>
      </c>
      <c r="C108" s="227">
        <v>1</v>
      </c>
      <c r="D108" s="228">
        <v>74257038</v>
      </c>
      <c r="E108" s="202">
        <f t="shared" ref="E108:E113" si="1">IF(ISBLANK(D108),"-",D108/$D$103*$D$100*$B$116)</f>
        <v>803.93054305362034</v>
      </c>
      <c r="F108" s="229">
        <f t="shared" ref="F108:F113" si="2">IF(ISBLANK(D108), "-", (E108/$B$56)*100)</f>
        <v>100.49131788170254</v>
      </c>
    </row>
    <row r="109" spans="1:10" ht="26.25" customHeight="1" x14ac:dyDescent="0.4">
      <c r="A109" s="76" t="s">
        <v>95</v>
      </c>
      <c r="B109" s="77">
        <v>50</v>
      </c>
      <c r="C109" s="223">
        <v>2</v>
      </c>
      <c r="D109" s="225">
        <v>71797631</v>
      </c>
      <c r="E109" s="203">
        <f t="shared" si="1"/>
        <v>777.30421296623012</v>
      </c>
      <c r="F109" s="230">
        <f t="shared" si="2"/>
        <v>97.163026620778766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73740340</v>
      </c>
      <c r="E110" s="203">
        <f t="shared" si="1"/>
        <v>798.33660455401673</v>
      </c>
      <c r="F110" s="230">
        <f t="shared" si="2"/>
        <v>99.792075569252091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72087329</v>
      </c>
      <c r="E111" s="203">
        <f t="shared" si="1"/>
        <v>780.44057655861502</v>
      </c>
      <c r="F111" s="230">
        <f t="shared" si="2"/>
        <v>97.555072069826878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71677732</v>
      </c>
      <c r="E112" s="203">
        <f t="shared" si="1"/>
        <v>776.00614788340806</v>
      </c>
      <c r="F112" s="230">
        <f t="shared" si="2"/>
        <v>97.000768485426008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71181630</v>
      </c>
      <c r="E113" s="204">
        <f t="shared" si="1"/>
        <v>770.63518829476982</v>
      </c>
      <c r="F113" s="231">
        <f t="shared" si="2"/>
        <v>96.329398536846227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784.44221221844339</v>
      </c>
      <c r="F115" s="233">
        <f>AVERAGE(F108:F113)</f>
        <v>98.055276527305423</v>
      </c>
    </row>
    <row r="116" spans="1:10" ht="27" customHeight="1" x14ac:dyDescent="0.4">
      <c r="A116" s="76" t="s">
        <v>103</v>
      </c>
      <c r="B116" s="108">
        <f>(B115/B114)*(B113/B112)*(B111/B110)*(B109/B108)*B107</f>
        <v>4500</v>
      </c>
      <c r="C116" s="186"/>
      <c r="D116" s="210" t="s">
        <v>84</v>
      </c>
      <c r="E116" s="208">
        <f>STDEV(E108:E113)/E115</f>
        <v>1.711845080924139E-2</v>
      </c>
      <c r="F116" s="187">
        <f>STDEV(F108:F113)/F115</f>
        <v>1.711845080924139E-2</v>
      </c>
      <c r="I116" s="50"/>
    </row>
    <row r="117" spans="1:10" ht="27" customHeight="1" x14ac:dyDescent="0.4">
      <c r="A117" s="434" t="s">
        <v>78</v>
      </c>
      <c r="B117" s="435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436"/>
      <c r="B118" s="437"/>
      <c r="C118" s="50"/>
      <c r="D118" s="212"/>
      <c r="E118" s="462" t="s">
        <v>123</v>
      </c>
      <c r="F118" s="463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770.63518829476982</v>
      </c>
      <c r="F119" s="234">
        <f>MIN(F108:F113)</f>
        <v>96.329398536846227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803.93054305362034</v>
      </c>
      <c r="F120" s="235">
        <f>MAX(F108:F113)</f>
        <v>100.49131788170254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438" t="str">
        <f>B26</f>
        <v>Sulfamethoxazole</v>
      </c>
      <c r="D124" s="438"/>
      <c r="E124" s="150" t="s">
        <v>127</v>
      </c>
      <c r="F124" s="150"/>
      <c r="G124" s="236">
        <f>F115</f>
        <v>98.055276527305423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96.329398536846227</v>
      </c>
      <c r="E125" s="161" t="s">
        <v>130</v>
      </c>
      <c r="F125" s="236">
        <f>MAX(F108:F113)</f>
        <v>100.49131788170254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439" t="s">
        <v>26</v>
      </c>
      <c r="C127" s="439"/>
      <c r="E127" s="156" t="s">
        <v>27</v>
      </c>
      <c r="F127" s="191"/>
      <c r="G127" s="439" t="s">
        <v>28</v>
      </c>
      <c r="H127" s="439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activeCell="B24" sqref="B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32" t="s">
        <v>45</v>
      </c>
      <c r="B1" s="432"/>
      <c r="C1" s="432"/>
      <c r="D1" s="432"/>
      <c r="E1" s="432"/>
      <c r="F1" s="432"/>
      <c r="G1" s="432"/>
      <c r="H1" s="432"/>
      <c r="I1" s="432"/>
    </row>
    <row r="2" spans="1:9" ht="18.75" customHeight="1" x14ac:dyDescent="0.25">
      <c r="A2" s="432"/>
      <c r="B2" s="432"/>
      <c r="C2" s="432"/>
      <c r="D2" s="432"/>
      <c r="E2" s="432"/>
      <c r="F2" s="432"/>
      <c r="G2" s="432"/>
      <c r="H2" s="432"/>
      <c r="I2" s="432"/>
    </row>
    <row r="3" spans="1:9" ht="18.75" customHeight="1" x14ac:dyDescent="0.25">
      <c r="A3" s="432"/>
      <c r="B3" s="432"/>
      <c r="C3" s="432"/>
      <c r="D3" s="432"/>
      <c r="E3" s="432"/>
      <c r="F3" s="432"/>
      <c r="G3" s="432"/>
      <c r="H3" s="432"/>
      <c r="I3" s="432"/>
    </row>
    <row r="4" spans="1:9" ht="18.75" customHeight="1" x14ac:dyDescent="0.25">
      <c r="A4" s="432"/>
      <c r="B4" s="432"/>
      <c r="C4" s="432"/>
      <c r="D4" s="432"/>
      <c r="E4" s="432"/>
      <c r="F4" s="432"/>
      <c r="G4" s="432"/>
      <c r="H4" s="432"/>
      <c r="I4" s="432"/>
    </row>
    <row r="5" spans="1:9" ht="18.75" customHeight="1" x14ac:dyDescent="0.25">
      <c r="A5" s="432"/>
      <c r="B5" s="432"/>
      <c r="C5" s="432"/>
      <c r="D5" s="432"/>
      <c r="E5" s="432"/>
      <c r="F5" s="432"/>
      <c r="G5" s="432"/>
      <c r="H5" s="432"/>
      <c r="I5" s="432"/>
    </row>
    <row r="6" spans="1:9" ht="18.75" customHeight="1" x14ac:dyDescent="0.25">
      <c r="A6" s="432"/>
      <c r="B6" s="432"/>
      <c r="C6" s="432"/>
      <c r="D6" s="432"/>
      <c r="E6" s="432"/>
      <c r="F6" s="432"/>
      <c r="G6" s="432"/>
      <c r="H6" s="432"/>
      <c r="I6" s="432"/>
    </row>
    <row r="7" spans="1:9" ht="18.75" customHeight="1" x14ac:dyDescent="0.25">
      <c r="A7" s="432"/>
      <c r="B7" s="432"/>
      <c r="C7" s="432"/>
      <c r="D7" s="432"/>
      <c r="E7" s="432"/>
      <c r="F7" s="432"/>
      <c r="G7" s="432"/>
      <c r="H7" s="432"/>
      <c r="I7" s="432"/>
    </row>
    <row r="8" spans="1:9" x14ac:dyDescent="0.25">
      <c r="A8" s="433" t="s">
        <v>46</v>
      </c>
      <c r="B8" s="433"/>
      <c r="C8" s="433"/>
      <c r="D8" s="433"/>
      <c r="E8" s="433"/>
      <c r="F8" s="433"/>
      <c r="G8" s="433"/>
      <c r="H8" s="433"/>
      <c r="I8" s="433"/>
    </row>
    <row r="9" spans="1:9" x14ac:dyDescent="0.25">
      <c r="A9" s="433"/>
      <c r="B9" s="433"/>
      <c r="C9" s="433"/>
      <c r="D9" s="433"/>
      <c r="E9" s="433"/>
      <c r="F9" s="433"/>
      <c r="G9" s="433"/>
      <c r="H9" s="433"/>
      <c r="I9" s="433"/>
    </row>
    <row r="10" spans="1:9" x14ac:dyDescent="0.25">
      <c r="A10" s="433"/>
      <c r="B10" s="433"/>
      <c r="C10" s="433"/>
      <c r="D10" s="433"/>
      <c r="E10" s="433"/>
      <c r="F10" s="433"/>
      <c r="G10" s="433"/>
      <c r="H10" s="433"/>
      <c r="I10" s="433"/>
    </row>
    <row r="11" spans="1:9" x14ac:dyDescent="0.25">
      <c r="A11" s="433"/>
      <c r="B11" s="433"/>
      <c r="C11" s="433"/>
      <c r="D11" s="433"/>
      <c r="E11" s="433"/>
      <c r="F11" s="433"/>
      <c r="G11" s="433"/>
      <c r="H11" s="433"/>
      <c r="I11" s="433"/>
    </row>
    <row r="12" spans="1:9" x14ac:dyDescent="0.25">
      <c r="A12" s="433"/>
      <c r="B12" s="433"/>
      <c r="C12" s="433"/>
      <c r="D12" s="433"/>
      <c r="E12" s="433"/>
      <c r="F12" s="433"/>
      <c r="G12" s="433"/>
      <c r="H12" s="433"/>
      <c r="I12" s="433"/>
    </row>
    <row r="13" spans="1:9" x14ac:dyDescent="0.25">
      <c r="A13" s="433"/>
      <c r="B13" s="433"/>
      <c r="C13" s="433"/>
      <c r="D13" s="433"/>
      <c r="E13" s="433"/>
      <c r="F13" s="433"/>
      <c r="G13" s="433"/>
      <c r="H13" s="433"/>
      <c r="I13" s="433"/>
    </row>
    <row r="14" spans="1:9" x14ac:dyDescent="0.25">
      <c r="A14" s="433"/>
      <c r="B14" s="433"/>
      <c r="C14" s="433"/>
      <c r="D14" s="433"/>
      <c r="E14" s="433"/>
      <c r="F14" s="433"/>
      <c r="G14" s="433"/>
      <c r="H14" s="433"/>
      <c r="I14" s="433"/>
    </row>
    <row r="15" spans="1:9" ht="19.5" customHeight="1" x14ac:dyDescent="0.3">
      <c r="A15" s="237"/>
    </row>
    <row r="16" spans="1:9" ht="19.5" customHeight="1" x14ac:dyDescent="0.3">
      <c r="A16" s="465" t="s">
        <v>31</v>
      </c>
      <c r="B16" s="466"/>
      <c r="C16" s="466"/>
      <c r="D16" s="466"/>
      <c r="E16" s="466"/>
      <c r="F16" s="466"/>
      <c r="G16" s="466"/>
      <c r="H16" s="467"/>
    </row>
    <row r="17" spans="1:14" ht="20.25" customHeight="1" x14ac:dyDescent="0.25">
      <c r="A17" s="468" t="s">
        <v>47</v>
      </c>
      <c r="B17" s="468"/>
      <c r="C17" s="468"/>
      <c r="D17" s="468"/>
      <c r="E17" s="468"/>
      <c r="F17" s="468"/>
      <c r="G17" s="468"/>
      <c r="H17" s="468"/>
    </row>
    <row r="18" spans="1:14" ht="26.25" customHeight="1" x14ac:dyDescent="0.4">
      <c r="A18" s="239" t="s">
        <v>33</v>
      </c>
      <c r="B18" s="464" t="s">
        <v>5</v>
      </c>
      <c r="C18" s="464"/>
      <c r="D18" s="385"/>
      <c r="E18" s="240"/>
      <c r="F18" s="241"/>
      <c r="G18" s="241"/>
      <c r="H18" s="241"/>
    </row>
    <row r="19" spans="1:14" ht="26.25" customHeight="1" x14ac:dyDescent="0.4">
      <c r="A19" s="239" t="s">
        <v>34</v>
      </c>
      <c r="B19" s="242" t="s">
        <v>7</v>
      </c>
      <c r="C19" s="394">
        <v>1</v>
      </c>
      <c r="D19" s="241"/>
      <c r="E19" s="241"/>
      <c r="F19" s="241"/>
      <c r="G19" s="241"/>
      <c r="H19" s="241"/>
    </row>
    <row r="20" spans="1:14" ht="26.25" customHeight="1" x14ac:dyDescent="0.4">
      <c r="A20" s="239" t="s">
        <v>35</v>
      </c>
      <c r="B20" s="469" t="s">
        <v>140</v>
      </c>
      <c r="C20" s="469"/>
      <c r="D20" s="241"/>
      <c r="E20" s="241"/>
      <c r="F20" s="241"/>
      <c r="G20" s="241"/>
      <c r="H20" s="241"/>
    </row>
    <row r="21" spans="1:14" ht="26.25" customHeight="1" x14ac:dyDescent="0.4">
      <c r="A21" s="239" t="s">
        <v>36</v>
      </c>
      <c r="B21" s="469" t="s">
        <v>142</v>
      </c>
      <c r="C21" s="469"/>
      <c r="D21" s="469"/>
      <c r="E21" s="469"/>
      <c r="F21" s="469"/>
      <c r="G21" s="469"/>
      <c r="H21" s="469"/>
      <c r="I21" s="243"/>
    </row>
    <row r="22" spans="1:14" ht="26.25" customHeight="1" x14ac:dyDescent="0.4">
      <c r="A22" s="239" t="s">
        <v>37</v>
      </c>
      <c r="B22" s="244">
        <v>42653</v>
      </c>
      <c r="C22" s="241"/>
      <c r="D22" s="241"/>
      <c r="E22" s="241"/>
      <c r="F22" s="241"/>
      <c r="G22" s="241"/>
      <c r="H22" s="241"/>
    </row>
    <row r="23" spans="1:14" ht="26.25" customHeight="1" x14ac:dyDescent="0.4">
      <c r="A23" s="239" t="s">
        <v>38</v>
      </c>
      <c r="B23" s="244">
        <v>42660</v>
      </c>
      <c r="C23" s="241"/>
      <c r="D23" s="241"/>
      <c r="E23" s="241"/>
      <c r="F23" s="241"/>
      <c r="G23" s="241"/>
      <c r="H23" s="241"/>
    </row>
    <row r="24" spans="1:14" ht="18.75" x14ac:dyDescent="0.3">
      <c r="A24" s="239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469" t="s">
        <v>140</v>
      </c>
      <c r="C26" s="469"/>
    </row>
    <row r="27" spans="1:14" ht="26.25" customHeight="1" x14ac:dyDescent="0.4">
      <c r="A27" s="248" t="s">
        <v>48</v>
      </c>
      <c r="B27" s="470" t="s">
        <v>141</v>
      </c>
      <c r="C27" s="470"/>
    </row>
    <row r="28" spans="1:14" ht="27" customHeight="1" x14ac:dyDescent="0.4">
      <c r="A28" s="248" t="s">
        <v>6</v>
      </c>
      <c r="B28" s="249">
        <v>99.3</v>
      </c>
    </row>
    <row r="29" spans="1:14" s="3" customFormat="1" ht="27" customHeight="1" x14ac:dyDescent="0.4">
      <c r="A29" s="248" t="s">
        <v>49</v>
      </c>
      <c r="B29" s="250">
        <v>0</v>
      </c>
      <c r="C29" s="440" t="s">
        <v>50</v>
      </c>
      <c r="D29" s="441"/>
      <c r="E29" s="441"/>
      <c r="F29" s="441"/>
      <c r="G29" s="442"/>
      <c r="I29" s="251"/>
      <c r="J29" s="251"/>
      <c r="K29" s="251"/>
      <c r="L29" s="251"/>
    </row>
    <row r="30" spans="1:14" s="3" customFormat="1" ht="19.5" customHeight="1" x14ac:dyDescent="0.3">
      <c r="A30" s="248" t="s">
        <v>51</v>
      </c>
      <c r="B30" s="252">
        <f>B28-B29</f>
        <v>99.3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">
      <c r="A31" s="248" t="s">
        <v>52</v>
      </c>
      <c r="B31" s="255">
        <v>1</v>
      </c>
      <c r="C31" s="443" t="s">
        <v>53</v>
      </c>
      <c r="D31" s="444"/>
      <c r="E31" s="444"/>
      <c r="F31" s="444"/>
      <c r="G31" s="444"/>
      <c r="H31" s="445"/>
      <c r="I31" s="251"/>
      <c r="J31" s="251"/>
      <c r="K31" s="251"/>
      <c r="L31" s="251"/>
    </row>
    <row r="32" spans="1:14" s="3" customFormat="1" ht="27" customHeight="1" x14ac:dyDescent="0.4">
      <c r="A32" s="248" t="s">
        <v>54</v>
      </c>
      <c r="B32" s="255">
        <v>1</v>
      </c>
      <c r="C32" s="443" t="s">
        <v>55</v>
      </c>
      <c r="D32" s="444"/>
      <c r="E32" s="444"/>
      <c r="F32" s="444"/>
      <c r="G32" s="444"/>
      <c r="H32" s="445"/>
      <c r="I32" s="251"/>
      <c r="J32" s="251"/>
      <c r="K32" s="251"/>
      <c r="L32" s="256"/>
      <c r="M32" s="256"/>
      <c r="N32" s="257"/>
    </row>
    <row r="33" spans="1:14" s="3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 x14ac:dyDescent="0.3">
      <c r="A34" s="248" t="s">
        <v>56</v>
      </c>
      <c r="B34" s="260">
        <f>B31/B32</f>
        <v>1</v>
      </c>
      <c r="C34" s="238" t="s">
        <v>57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">
      <c r="A36" s="261" t="s">
        <v>58</v>
      </c>
      <c r="B36" s="262">
        <v>25</v>
      </c>
      <c r="C36" s="238"/>
      <c r="D36" s="446" t="s">
        <v>59</v>
      </c>
      <c r="E36" s="471"/>
      <c r="F36" s="446" t="s">
        <v>60</v>
      </c>
      <c r="G36" s="447"/>
      <c r="J36" s="251"/>
      <c r="K36" s="251"/>
      <c r="L36" s="256"/>
      <c r="M36" s="256"/>
      <c r="N36" s="257"/>
    </row>
    <row r="37" spans="1:14" s="3" customFormat="1" ht="27" customHeight="1" x14ac:dyDescent="0.4">
      <c r="A37" s="263" t="s">
        <v>61</v>
      </c>
      <c r="B37" s="264">
        <v>4</v>
      </c>
      <c r="C37" s="265" t="s">
        <v>62</v>
      </c>
      <c r="D37" s="266" t="s">
        <v>63</v>
      </c>
      <c r="E37" s="267" t="s">
        <v>64</v>
      </c>
      <c r="F37" s="266" t="s">
        <v>63</v>
      </c>
      <c r="G37" s="268" t="s">
        <v>64</v>
      </c>
      <c r="I37" s="269" t="s">
        <v>65</v>
      </c>
      <c r="J37" s="251"/>
      <c r="K37" s="251"/>
      <c r="L37" s="256"/>
      <c r="M37" s="256"/>
      <c r="N37" s="257"/>
    </row>
    <row r="38" spans="1:14" s="3" customFormat="1" ht="26.25" customHeight="1" x14ac:dyDescent="0.4">
      <c r="A38" s="263" t="s">
        <v>66</v>
      </c>
      <c r="B38" s="264">
        <v>100</v>
      </c>
      <c r="C38" s="270">
        <v>1</v>
      </c>
      <c r="D38" s="271">
        <v>4686239</v>
      </c>
      <c r="E38" s="272">
        <f>IF(ISBLANK(D38),"-",$D$48/$D$45*D38)</f>
        <v>4622207.5586894741</v>
      </c>
      <c r="F38" s="271">
        <v>4120590</v>
      </c>
      <c r="G38" s="273">
        <f>IF(ISBLANK(F38),"-",$D$48/$F$45*F38)</f>
        <v>4498251.9915833604</v>
      </c>
      <c r="I38" s="274"/>
      <c r="J38" s="251"/>
      <c r="K38" s="251"/>
      <c r="L38" s="256"/>
      <c r="M38" s="256"/>
      <c r="N38" s="257"/>
    </row>
    <row r="39" spans="1:14" s="3" customFormat="1" ht="26.25" customHeight="1" x14ac:dyDescent="0.4">
      <c r="A39" s="263" t="s">
        <v>67</v>
      </c>
      <c r="B39" s="264">
        <v>1</v>
      </c>
      <c r="C39" s="275">
        <v>2</v>
      </c>
      <c r="D39" s="276">
        <v>4563417</v>
      </c>
      <c r="E39" s="277">
        <f>IF(ISBLANK(D39),"-",$D$48/$D$45*D39)</f>
        <v>4501063.7636817172</v>
      </c>
      <c r="F39" s="276">
        <v>4110690</v>
      </c>
      <c r="G39" s="278">
        <f>IF(ISBLANK(F39),"-",$D$48/$F$45*F39)</f>
        <v>4487444.6327544851</v>
      </c>
      <c r="I39" s="448">
        <f>ABS((F43/D43*D42)-F42)/D42</f>
        <v>1.0252510036110394E-2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68</v>
      </c>
      <c r="B40" s="264">
        <v>1</v>
      </c>
      <c r="C40" s="275">
        <v>3</v>
      </c>
      <c r="D40" s="276">
        <v>4567149</v>
      </c>
      <c r="E40" s="277">
        <f>IF(ISBLANK(D40),"-",$D$48/$D$45*D40)</f>
        <v>4504744.770691609</v>
      </c>
      <c r="F40" s="276">
        <v>4110905</v>
      </c>
      <c r="G40" s="278">
        <f>IF(ISBLANK(F40),"-",$D$48/$F$45*F40)</f>
        <v>4487679.3380219815</v>
      </c>
      <c r="I40" s="448"/>
      <c r="L40" s="256"/>
      <c r="M40" s="256"/>
      <c r="N40" s="279"/>
    </row>
    <row r="41" spans="1:14" ht="27" customHeight="1" x14ac:dyDescent="0.4">
      <c r="A41" s="263" t="s">
        <v>69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70</v>
      </c>
      <c r="B42" s="264">
        <v>1</v>
      </c>
      <c r="C42" s="285" t="s">
        <v>71</v>
      </c>
      <c r="D42" s="286">
        <f>AVERAGE(D38:D41)</f>
        <v>4605601.666666667</v>
      </c>
      <c r="E42" s="287">
        <f>AVERAGE(E38:E41)</f>
        <v>4542672.0310209338</v>
      </c>
      <c r="F42" s="286">
        <f>AVERAGE(F38:F41)</f>
        <v>4114061.6666666665</v>
      </c>
      <c r="G42" s="288">
        <f>AVERAGE(G38:G41)</f>
        <v>4491125.3207866093</v>
      </c>
      <c r="H42" s="289"/>
    </row>
    <row r="43" spans="1:14" ht="26.25" customHeight="1" x14ac:dyDescent="0.4">
      <c r="A43" s="263" t="s">
        <v>72</v>
      </c>
      <c r="B43" s="264">
        <v>1</v>
      </c>
      <c r="C43" s="290" t="s">
        <v>73</v>
      </c>
      <c r="D43" s="291">
        <v>20.420000000000002</v>
      </c>
      <c r="E43" s="279"/>
      <c r="F43" s="291">
        <v>18.45</v>
      </c>
      <c r="H43" s="289"/>
    </row>
    <row r="44" spans="1:14" ht="26.25" customHeight="1" x14ac:dyDescent="0.4">
      <c r="A44" s="263" t="s">
        <v>74</v>
      </c>
      <c r="B44" s="264">
        <v>1</v>
      </c>
      <c r="C44" s="292" t="s">
        <v>75</v>
      </c>
      <c r="D44" s="293">
        <f>D43*$B$34</f>
        <v>20.420000000000002</v>
      </c>
      <c r="E44" s="294"/>
      <c r="F44" s="293">
        <f>F43*$B$34</f>
        <v>18.45</v>
      </c>
      <c r="H44" s="289"/>
    </row>
    <row r="45" spans="1:14" ht="19.5" customHeight="1" x14ac:dyDescent="0.3">
      <c r="A45" s="263" t="s">
        <v>76</v>
      </c>
      <c r="B45" s="295">
        <f>(B44/B43)*(B42/B41)*(B40/B39)*(B38/B37)*B36</f>
        <v>625</v>
      </c>
      <c r="C45" s="292" t="s">
        <v>77</v>
      </c>
      <c r="D45" s="296">
        <f>D44*$B$30/100</f>
        <v>20.277060000000002</v>
      </c>
      <c r="E45" s="297"/>
      <c r="F45" s="296">
        <f>F44*$B$30/100</f>
        <v>18.320849999999997</v>
      </c>
      <c r="H45" s="289"/>
    </row>
    <row r="46" spans="1:14" ht="19.5" customHeight="1" x14ac:dyDescent="0.3">
      <c r="A46" s="434" t="s">
        <v>78</v>
      </c>
      <c r="B46" s="435"/>
      <c r="C46" s="292" t="s">
        <v>79</v>
      </c>
      <c r="D46" s="298">
        <f>D45/$B$45</f>
        <v>3.2443296000000003E-2</v>
      </c>
      <c r="E46" s="299"/>
      <c r="F46" s="300">
        <f>F45/$B$45</f>
        <v>2.9313359999999993E-2</v>
      </c>
      <c r="H46" s="289"/>
    </row>
    <row r="47" spans="1:14" ht="27" customHeight="1" x14ac:dyDescent="0.4">
      <c r="A47" s="436"/>
      <c r="B47" s="437"/>
      <c r="C47" s="301" t="s">
        <v>80</v>
      </c>
      <c r="D47" s="302">
        <v>3.2000000000000001E-2</v>
      </c>
      <c r="E47" s="303"/>
      <c r="F47" s="299"/>
      <c r="H47" s="289"/>
    </row>
    <row r="48" spans="1:14" ht="18.75" x14ac:dyDescent="0.3">
      <c r="C48" s="304" t="s">
        <v>81</v>
      </c>
      <c r="D48" s="296">
        <f>D47*$B$45</f>
        <v>20</v>
      </c>
      <c r="F48" s="305"/>
      <c r="H48" s="289"/>
    </row>
    <row r="49" spans="1:12" ht="19.5" customHeight="1" x14ac:dyDescent="0.3">
      <c r="C49" s="306" t="s">
        <v>82</v>
      </c>
      <c r="D49" s="307">
        <f>D48/B34</f>
        <v>20</v>
      </c>
      <c r="F49" s="305"/>
      <c r="H49" s="289"/>
    </row>
    <row r="50" spans="1:12" ht="18.75" x14ac:dyDescent="0.3">
      <c r="C50" s="261" t="s">
        <v>83</v>
      </c>
      <c r="D50" s="308">
        <f>AVERAGE(E38:E41,G38:G41)</f>
        <v>4516898.675903772</v>
      </c>
      <c r="F50" s="309"/>
      <c r="H50" s="289"/>
    </row>
    <row r="51" spans="1:12" ht="18.75" x14ac:dyDescent="0.3">
      <c r="C51" s="263" t="s">
        <v>84</v>
      </c>
      <c r="D51" s="310">
        <f>STDEV(E38:E41,G38:G41)/D50</f>
        <v>1.1528249427120165E-2</v>
      </c>
      <c r="F51" s="309"/>
      <c r="H51" s="289"/>
    </row>
    <row r="52" spans="1:12" ht="19.5" customHeight="1" x14ac:dyDescent="0.3">
      <c r="C52" s="311" t="s">
        <v>20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85</v>
      </c>
    </row>
    <row r="55" spans="1:12" ht="18.75" x14ac:dyDescent="0.3">
      <c r="A55" s="238" t="s">
        <v>86</v>
      </c>
      <c r="B55" s="315" t="str">
        <f>B21</f>
        <v>Each tablet contains: Sulphamethoxazole B.P. 800 mg and Trimethoprim B.P. 160 mg.</v>
      </c>
    </row>
    <row r="56" spans="1:12" ht="26.25" customHeight="1" x14ac:dyDescent="0.4">
      <c r="A56" s="316" t="s">
        <v>87</v>
      </c>
      <c r="B56" s="317">
        <v>160</v>
      </c>
      <c r="C56" s="238" t="str">
        <f>B20</f>
        <v xml:space="preserve"> Trimethoprim </v>
      </c>
      <c r="H56" s="318"/>
    </row>
    <row r="57" spans="1:12" ht="18.75" x14ac:dyDescent="0.3">
      <c r="A57" s="315" t="s">
        <v>88</v>
      </c>
      <c r="B57" s="386">
        <f>Uniformity!C46</f>
        <v>1040.8319999999999</v>
      </c>
      <c r="H57" s="318"/>
    </row>
    <row r="58" spans="1:12" ht="19.5" customHeight="1" x14ac:dyDescent="0.3">
      <c r="H58" s="318"/>
    </row>
    <row r="59" spans="1:12" s="3" customFormat="1" ht="27" customHeight="1" x14ac:dyDescent="0.4">
      <c r="A59" s="261" t="s">
        <v>89</v>
      </c>
      <c r="B59" s="262">
        <v>100</v>
      </c>
      <c r="C59" s="238"/>
      <c r="D59" s="319" t="s">
        <v>90</v>
      </c>
      <c r="E59" s="320" t="s">
        <v>62</v>
      </c>
      <c r="F59" s="320" t="s">
        <v>63</v>
      </c>
      <c r="G59" s="320" t="s">
        <v>91</v>
      </c>
      <c r="H59" s="265" t="s">
        <v>92</v>
      </c>
      <c r="L59" s="251"/>
    </row>
    <row r="60" spans="1:12" s="3" customFormat="1" ht="26.25" customHeight="1" x14ac:dyDescent="0.4">
      <c r="A60" s="263" t="s">
        <v>93</v>
      </c>
      <c r="B60" s="264">
        <v>5</v>
      </c>
      <c r="C60" s="451" t="s">
        <v>94</v>
      </c>
      <c r="D60" s="454">
        <v>205.15</v>
      </c>
      <c r="E60" s="321">
        <v>1</v>
      </c>
      <c r="F60" s="322">
        <v>4431823</v>
      </c>
      <c r="G60" s="387">
        <f>IF(ISBLANK(F60),"-",(F60/$D$50*$D$47*$B$68)*($B$57/$D$60))</f>
        <v>159.29463589041981</v>
      </c>
      <c r="H60" s="405">
        <f t="shared" ref="H60:H71" si="0">IF(ISBLANK(F60),"-",(G60/$B$56)*100)</f>
        <v>99.559147431512386</v>
      </c>
      <c r="L60" s="251"/>
    </row>
    <row r="61" spans="1:12" s="3" customFormat="1" ht="26.25" customHeight="1" x14ac:dyDescent="0.4">
      <c r="A61" s="263" t="s">
        <v>95</v>
      </c>
      <c r="B61" s="264">
        <v>50</v>
      </c>
      <c r="C61" s="452"/>
      <c r="D61" s="455"/>
      <c r="E61" s="323">
        <v>2</v>
      </c>
      <c r="F61" s="276">
        <v>4402775</v>
      </c>
      <c r="G61" s="388">
        <f>IF(ISBLANK(F61),"-",(F61/$D$50*$D$47*$B$68)*($B$57/$D$60))</f>
        <v>158.25055299646286</v>
      </c>
      <c r="H61" s="406">
        <f t="shared" si="0"/>
        <v>98.906595622789283</v>
      </c>
      <c r="L61" s="251"/>
    </row>
    <row r="62" spans="1:12" s="3" customFormat="1" ht="26.25" customHeight="1" x14ac:dyDescent="0.4">
      <c r="A62" s="263" t="s">
        <v>96</v>
      </c>
      <c r="B62" s="264">
        <v>1</v>
      </c>
      <c r="C62" s="452"/>
      <c r="D62" s="455"/>
      <c r="E62" s="323">
        <v>3</v>
      </c>
      <c r="F62" s="324">
        <v>4394849</v>
      </c>
      <c r="G62" s="388">
        <f>IF(ISBLANK(F62),"-",(F62/$D$50*$D$47*$B$68)*($B$57/$D$60))</f>
        <v>157.96566587798645</v>
      </c>
      <c r="H62" s="406">
        <f t="shared" si="0"/>
        <v>98.728541173741533</v>
      </c>
      <c r="L62" s="251"/>
    </row>
    <row r="63" spans="1:12" ht="27" customHeight="1" x14ac:dyDescent="0.4">
      <c r="A63" s="263" t="s">
        <v>97</v>
      </c>
      <c r="B63" s="264">
        <v>1</v>
      </c>
      <c r="C63" s="461"/>
      <c r="D63" s="456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">
      <c r="A64" s="263" t="s">
        <v>98</v>
      </c>
      <c r="B64" s="264">
        <v>1</v>
      </c>
      <c r="C64" s="451" t="s">
        <v>99</v>
      </c>
      <c r="D64" s="454">
        <v>211.5</v>
      </c>
      <c r="E64" s="321">
        <v>1</v>
      </c>
      <c r="F64" s="322">
        <v>4572603</v>
      </c>
      <c r="G64" s="387">
        <f>IF(ISBLANK(F64),"-",(F64/$D$50*$D$47*$B$68)*($B$57/$D$64))</f>
        <v>159.42021520473307</v>
      </c>
      <c r="H64" s="405">
        <f t="shared" si="0"/>
        <v>99.637634502958178</v>
      </c>
    </row>
    <row r="65" spans="1:8" ht="26.25" customHeight="1" x14ac:dyDescent="0.4">
      <c r="A65" s="263" t="s">
        <v>100</v>
      </c>
      <c r="B65" s="264">
        <v>1</v>
      </c>
      <c r="C65" s="452"/>
      <c r="D65" s="455"/>
      <c r="E65" s="323">
        <v>2</v>
      </c>
      <c r="F65" s="276">
        <v>4548441</v>
      </c>
      <c r="G65" s="388">
        <f>IF(ISBLANK(F65),"-",(F65/$D$50*$D$47*$B$68)*($B$57/$D$64))</f>
        <v>158.57782603607424</v>
      </c>
      <c r="H65" s="406">
        <f t="shared" si="0"/>
        <v>99.111141272546405</v>
      </c>
    </row>
    <row r="66" spans="1:8" ht="26.25" customHeight="1" x14ac:dyDescent="0.4">
      <c r="A66" s="263" t="s">
        <v>101</v>
      </c>
      <c r="B66" s="264">
        <v>1</v>
      </c>
      <c r="C66" s="452"/>
      <c r="D66" s="455"/>
      <c r="E66" s="323">
        <v>3</v>
      </c>
      <c r="F66" s="276">
        <v>4571424</v>
      </c>
      <c r="G66" s="388">
        <f>IF(ISBLANK(F66),"-",(F66/$D$50*$D$47*$B$68)*($B$57/$D$64))</f>
        <v>159.37911029496365</v>
      </c>
      <c r="H66" s="406">
        <f t="shared" si="0"/>
        <v>99.611943934352283</v>
      </c>
    </row>
    <row r="67" spans="1:8" ht="27" customHeight="1" x14ac:dyDescent="0.4">
      <c r="A67" s="263" t="s">
        <v>102</v>
      </c>
      <c r="B67" s="264">
        <v>1</v>
      </c>
      <c r="C67" s="461"/>
      <c r="D67" s="456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4">
      <c r="A68" s="263" t="s">
        <v>103</v>
      </c>
      <c r="B68" s="327">
        <f>(B67/B66)*(B65/B64)*(B63/B62)*(B61/B60)*B59</f>
        <v>1000</v>
      </c>
      <c r="C68" s="451" t="s">
        <v>104</v>
      </c>
      <c r="D68" s="454">
        <v>208.44</v>
      </c>
      <c r="E68" s="321">
        <v>1</v>
      </c>
      <c r="F68" s="322">
        <v>4458136</v>
      </c>
      <c r="G68" s="387">
        <f>IF(ISBLANK(F68),"-",(F68/$D$50*$D$47*$B$68)*($B$57/$D$68))</f>
        <v>157.71119202719277</v>
      </c>
      <c r="H68" s="406">
        <f t="shared" si="0"/>
        <v>98.569495016995475</v>
      </c>
    </row>
    <row r="69" spans="1:8" ht="27" customHeight="1" x14ac:dyDescent="0.4">
      <c r="A69" s="311" t="s">
        <v>105</v>
      </c>
      <c r="B69" s="328">
        <f>(D47*B68)/B56*B57</f>
        <v>208.16639999999998</v>
      </c>
      <c r="C69" s="452"/>
      <c r="D69" s="455"/>
      <c r="E69" s="323">
        <v>2</v>
      </c>
      <c r="F69" s="276">
        <v>4431788</v>
      </c>
      <c r="G69" s="388">
        <f>IF(ISBLANK(F69),"-",(F69/$D$50*$D$47*$B$68)*($B$57/$D$68))</f>
        <v>156.7791041573897</v>
      </c>
      <c r="H69" s="406">
        <f t="shared" si="0"/>
        <v>97.986940098368564</v>
      </c>
    </row>
    <row r="70" spans="1:8" ht="26.25" customHeight="1" x14ac:dyDescent="0.4">
      <c r="A70" s="457" t="s">
        <v>78</v>
      </c>
      <c r="B70" s="458"/>
      <c r="C70" s="452"/>
      <c r="D70" s="455"/>
      <c r="E70" s="323">
        <v>3</v>
      </c>
      <c r="F70" s="276">
        <v>4439589</v>
      </c>
      <c r="G70" s="388">
        <f>IF(ISBLANK(F70),"-",(F70/$D$50*$D$47*$B$68)*($B$57/$D$68))</f>
        <v>157.05507263592065</v>
      </c>
      <c r="H70" s="406">
        <f t="shared" si="0"/>
        <v>98.159420397450404</v>
      </c>
    </row>
    <row r="71" spans="1:8" ht="27" customHeight="1" x14ac:dyDescent="0.4">
      <c r="A71" s="459"/>
      <c r="B71" s="460"/>
      <c r="C71" s="453"/>
      <c r="D71" s="456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71</v>
      </c>
      <c r="G72" s="393">
        <f>AVERAGE(G60:G71)</f>
        <v>158.27037501346035</v>
      </c>
      <c r="H72" s="408">
        <f>AVERAGE(H60:H71)</f>
        <v>98.91898438341272</v>
      </c>
    </row>
    <row r="73" spans="1:8" ht="26.25" customHeight="1" x14ac:dyDescent="0.4">
      <c r="C73" s="329"/>
      <c r="D73" s="329"/>
      <c r="E73" s="329"/>
      <c r="F73" s="332" t="s">
        <v>84</v>
      </c>
      <c r="G73" s="392">
        <f>STDEV(G60:G71)/G72</f>
        <v>6.2395580618387608E-3</v>
      </c>
      <c r="H73" s="392">
        <f>STDEV(H60:H71)/H72</f>
        <v>6.2395580618387842E-3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7" t="s">
        <v>106</v>
      </c>
      <c r="B76" s="336" t="s">
        <v>107</v>
      </c>
      <c r="C76" s="438" t="str">
        <f>B26</f>
        <v xml:space="preserve"> Trimethoprim </v>
      </c>
      <c r="D76" s="438"/>
      <c r="E76" s="337" t="s">
        <v>108</v>
      </c>
      <c r="F76" s="337"/>
      <c r="G76" s="338">
        <f>H72</f>
        <v>98.91898438341272</v>
      </c>
      <c r="H76" s="339"/>
    </row>
    <row r="77" spans="1:8" ht="18.75" x14ac:dyDescent="0.3">
      <c r="A77" s="246" t="s">
        <v>109</v>
      </c>
      <c r="B77" s="246" t="s">
        <v>110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472" t="str">
        <f>B26</f>
        <v xml:space="preserve"> Trimethoprim </v>
      </c>
      <c r="C79" s="472"/>
    </row>
    <row r="80" spans="1:8" ht="26.25" customHeight="1" x14ac:dyDescent="0.4">
      <c r="A80" s="248" t="s">
        <v>48</v>
      </c>
      <c r="B80" s="472" t="str">
        <f>B27</f>
        <v>T7-4</v>
      </c>
      <c r="C80" s="472"/>
    </row>
    <row r="81" spans="1:12" ht="27" customHeight="1" x14ac:dyDescent="0.4">
      <c r="A81" s="248" t="s">
        <v>6</v>
      </c>
      <c r="B81" s="340">
        <f>B28</f>
        <v>99.3</v>
      </c>
    </row>
    <row r="82" spans="1:12" s="3" customFormat="1" ht="27" customHeight="1" x14ac:dyDescent="0.4">
      <c r="A82" s="248" t="s">
        <v>49</v>
      </c>
      <c r="B82" s="250">
        <v>0</v>
      </c>
      <c r="C82" s="440" t="s">
        <v>50</v>
      </c>
      <c r="D82" s="441"/>
      <c r="E82" s="441"/>
      <c r="F82" s="441"/>
      <c r="G82" s="442"/>
      <c r="I82" s="251"/>
      <c r="J82" s="251"/>
      <c r="K82" s="251"/>
      <c r="L82" s="251"/>
    </row>
    <row r="83" spans="1:12" s="3" customFormat="1" ht="19.5" customHeight="1" x14ac:dyDescent="0.3">
      <c r="A83" s="248" t="s">
        <v>51</v>
      </c>
      <c r="B83" s="252">
        <f>B81-B82</f>
        <v>99.3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">
      <c r="A84" s="248" t="s">
        <v>52</v>
      </c>
      <c r="B84" s="255">
        <v>1</v>
      </c>
      <c r="C84" s="443" t="s">
        <v>111</v>
      </c>
      <c r="D84" s="444"/>
      <c r="E84" s="444"/>
      <c r="F84" s="444"/>
      <c r="G84" s="444"/>
      <c r="H84" s="445"/>
      <c r="I84" s="251"/>
      <c r="J84" s="251"/>
      <c r="K84" s="251"/>
      <c r="L84" s="251"/>
    </row>
    <row r="85" spans="1:12" s="3" customFormat="1" ht="27" customHeight="1" x14ac:dyDescent="0.4">
      <c r="A85" s="248" t="s">
        <v>54</v>
      </c>
      <c r="B85" s="255">
        <v>1</v>
      </c>
      <c r="C85" s="443" t="s">
        <v>112</v>
      </c>
      <c r="D85" s="444"/>
      <c r="E85" s="444"/>
      <c r="F85" s="444"/>
      <c r="G85" s="444"/>
      <c r="H85" s="445"/>
      <c r="I85" s="251"/>
      <c r="J85" s="251"/>
      <c r="K85" s="251"/>
      <c r="L85" s="251"/>
    </row>
    <row r="86" spans="1:12" s="3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 x14ac:dyDescent="0.3">
      <c r="A87" s="248" t="s">
        <v>56</v>
      </c>
      <c r="B87" s="260">
        <f>B84/B85</f>
        <v>1</v>
      </c>
      <c r="C87" s="238" t="s">
        <v>57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58</v>
      </c>
      <c r="B89" s="262">
        <v>25</v>
      </c>
      <c r="D89" s="341" t="s">
        <v>59</v>
      </c>
      <c r="E89" s="342"/>
      <c r="F89" s="446" t="s">
        <v>60</v>
      </c>
      <c r="G89" s="447"/>
    </row>
    <row r="90" spans="1:12" ht="27" customHeight="1" x14ac:dyDescent="0.4">
      <c r="A90" s="263" t="s">
        <v>61</v>
      </c>
      <c r="B90" s="264">
        <v>4</v>
      </c>
      <c r="C90" s="343" t="s">
        <v>62</v>
      </c>
      <c r="D90" s="266" t="s">
        <v>63</v>
      </c>
      <c r="E90" s="267" t="s">
        <v>64</v>
      </c>
      <c r="F90" s="266" t="s">
        <v>63</v>
      </c>
      <c r="G90" s="344" t="s">
        <v>64</v>
      </c>
      <c r="I90" s="269" t="s">
        <v>65</v>
      </c>
    </row>
    <row r="91" spans="1:12" ht="26.25" customHeight="1" x14ac:dyDescent="0.4">
      <c r="A91" s="263" t="s">
        <v>66</v>
      </c>
      <c r="B91" s="264">
        <v>100</v>
      </c>
      <c r="C91" s="345">
        <v>1</v>
      </c>
      <c r="D91" s="271">
        <v>4686239</v>
      </c>
      <c r="E91" s="272">
        <f>IF(ISBLANK(D91),"-",$D$101/$D$98*D91)</f>
        <v>5135786.1763216378</v>
      </c>
      <c r="F91" s="271">
        <v>4120590</v>
      </c>
      <c r="G91" s="273">
        <f>IF(ISBLANK(F91),"-",$D$101/$F$98*F91)</f>
        <v>4998057.7684259564</v>
      </c>
      <c r="I91" s="274"/>
    </row>
    <row r="92" spans="1:12" ht="26.25" customHeight="1" x14ac:dyDescent="0.4">
      <c r="A92" s="263" t="s">
        <v>67</v>
      </c>
      <c r="B92" s="264">
        <v>1</v>
      </c>
      <c r="C92" s="330">
        <v>2</v>
      </c>
      <c r="D92" s="276">
        <v>4563417</v>
      </c>
      <c r="E92" s="277">
        <f>IF(ISBLANK(D92),"-",$D$101/$D$98*D92)</f>
        <v>5001181.9596463516</v>
      </c>
      <c r="F92" s="276">
        <v>4110690</v>
      </c>
      <c r="G92" s="278">
        <f>IF(ISBLANK(F92),"-",$D$101/$F$98*F92)</f>
        <v>4986049.5919494284</v>
      </c>
      <c r="I92" s="448">
        <f>ABS((F96/D96*D95)-F95)/D95</f>
        <v>1.0252510036110394E-2</v>
      </c>
    </row>
    <row r="93" spans="1:12" ht="26.25" customHeight="1" x14ac:dyDescent="0.4">
      <c r="A93" s="263" t="s">
        <v>68</v>
      </c>
      <c r="B93" s="264">
        <v>1</v>
      </c>
      <c r="C93" s="330">
        <v>3</v>
      </c>
      <c r="D93" s="276">
        <v>4567149</v>
      </c>
      <c r="E93" s="277">
        <f>IF(ISBLANK(D93),"-",$D$101/$D$98*D93)</f>
        <v>5005271.9674351206</v>
      </c>
      <c r="F93" s="276">
        <v>4110905</v>
      </c>
      <c r="G93" s="278">
        <f>IF(ISBLANK(F93),"-",$D$101/$F$98*F93)</f>
        <v>4986310.3755799793</v>
      </c>
      <c r="I93" s="448"/>
    </row>
    <row r="94" spans="1:12" ht="27" customHeight="1" x14ac:dyDescent="0.4">
      <c r="A94" s="263" t="s">
        <v>69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347"/>
      <c r="G94" s="283" t="str">
        <f>IF(ISBLANK(F94),"-",$D$101/$F$98*F94)</f>
        <v>-</v>
      </c>
      <c r="I94" s="284"/>
    </row>
    <row r="95" spans="1:12" ht="27" customHeight="1" x14ac:dyDescent="0.4">
      <c r="A95" s="263" t="s">
        <v>70</v>
      </c>
      <c r="B95" s="264">
        <v>1</v>
      </c>
      <c r="C95" s="348" t="s">
        <v>71</v>
      </c>
      <c r="D95" s="349">
        <f>AVERAGE(D91:D94)</f>
        <v>4605601.666666667</v>
      </c>
      <c r="E95" s="287">
        <f>AVERAGE(E91:E94)</f>
        <v>5047413.3678010367</v>
      </c>
      <c r="F95" s="350">
        <f>AVERAGE(F91:F94)</f>
        <v>4114061.6666666665</v>
      </c>
      <c r="G95" s="351">
        <f>AVERAGE(G91:G94)</f>
        <v>4990139.2453184547</v>
      </c>
    </row>
    <row r="96" spans="1:12" ht="26.25" customHeight="1" x14ac:dyDescent="0.4">
      <c r="A96" s="263" t="s">
        <v>72</v>
      </c>
      <c r="B96" s="249">
        <v>1</v>
      </c>
      <c r="C96" s="352" t="s">
        <v>113</v>
      </c>
      <c r="D96" s="353">
        <v>20.420000000000002</v>
      </c>
      <c r="E96" s="279"/>
      <c r="F96" s="291">
        <v>18.45</v>
      </c>
    </row>
    <row r="97" spans="1:10" ht="26.25" customHeight="1" x14ac:dyDescent="0.4">
      <c r="A97" s="263" t="s">
        <v>74</v>
      </c>
      <c r="B97" s="249">
        <v>1</v>
      </c>
      <c r="C97" s="354" t="s">
        <v>114</v>
      </c>
      <c r="D97" s="355">
        <f>D96*$B$87</f>
        <v>20.420000000000002</v>
      </c>
      <c r="E97" s="294"/>
      <c r="F97" s="293">
        <f>F96*$B$87</f>
        <v>18.45</v>
      </c>
    </row>
    <row r="98" spans="1:10" ht="19.5" customHeight="1" x14ac:dyDescent="0.3">
      <c r="A98" s="263" t="s">
        <v>76</v>
      </c>
      <c r="B98" s="356">
        <f>(B97/B96)*(B95/B94)*(B93/B92)*(B91/B90)*B89</f>
        <v>625</v>
      </c>
      <c r="C98" s="354" t="s">
        <v>115</v>
      </c>
      <c r="D98" s="357">
        <f>D97*$B$83/100</f>
        <v>20.277060000000002</v>
      </c>
      <c r="E98" s="297"/>
      <c r="F98" s="296">
        <f>F97*$B$83/100</f>
        <v>18.320849999999997</v>
      </c>
    </row>
    <row r="99" spans="1:10" ht="19.5" customHeight="1" x14ac:dyDescent="0.3">
      <c r="A99" s="434" t="s">
        <v>78</v>
      </c>
      <c r="B99" s="449"/>
      <c r="C99" s="354" t="s">
        <v>116</v>
      </c>
      <c r="D99" s="358">
        <f>D98/$B$98</f>
        <v>3.2443296000000003E-2</v>
      </c>
      <c r="E99" s="297"/>
      <c r="F99" s="300">
        <f>F98/$B$98</f>
        <v>2.9313359999999993E-2</v>
      </c>
      <c r="G99" s="359"/>
      <c r="H99" s="289"/>
    </row>
    <row r="100" spans="1:10" ht="19.5" customHeight="1" x14ac:dyDescent="0.3">
      <c r="A100" s="436"/>
      <c r="B100" s="450"/>
      <c r="C100" s="354" t="s">
        <v>80</v>
      </c>
      <c r="D100" s="360">
        <f>$B$56/$B$116</f>
        <v>3.5555555555555556E-2</v>
      </c>
      <c r="F100" s="305"/>
      <c r="G100" s="361"/>
      <c r="H100" s="289"/>
    </row>
    <row r="101" spans="1:10" ht="18.75" x14ac:dyDescent="0.3">
      <c r="C101" s="354" t="s">
        <v>81</v>
      </c>
      <c r="D101" s="355">
        <f>D100*$B$98</f>
        <v>22.222222222222221</v>
      </c>
      <c r="F101" s="305"/>
      <c r="G101" s="359"/>
      <c r="H101" s="289"/>
    </row>
    <row r="102" spans="1:10" ht="19.5" customHeight="1" x14ac:dyDescent="0.3">
      <c r="C102" s="362" t="s">
        <v>82</v>
      </c>
      <c r="D102" s="363">
        <f>D101/B34</f>
        <v>22.222222222222221</v>
      </c>
      <c r="F102" s="309"/>
      <c r="G102" s="359"/>
      <c r="H102" s="289"/>
      <c r="J102" s="364"/>
    </row>
    <row r="103" spans="1:10" ht="18.75" x14ac:dyDescent="0.3">
      <c r="C103" s="365" t="s">
        <v>117</v>
      </c>
      <c r="D103" s="366">
        <f>AVERAGE(E91:E94,G91:G94)</f>
        <v>5018776.3065597462</v>
      </c>
      <c r="F103" s="309"/>
      <c r="G103" s="367"/>
      <c r="H103" s="289"/>
      <c r="J103" s="368"/>
    </row>
    <row r="104" spans="1:10" ht="18.75" x14ac:dyDescent="0.3">
      <c r="C104" s="332" t="s">
        <v>84</v>
      </c>
      <c r="D104" s="369">
        <f>STDEV(E91:E94,G91:G94)/D103</f>
        <v>1.1528249427120158E-2</v>
      </c>
      <c r="F104" s="309"/>
      <c r="G104" s="359"/>
      <c r="H104" s="289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9"/>
      <c r="G105" s="359"/>
      <c r="H105" s="289"/>
      <c r="J105" s="368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7" customHeight="1" x14ac:dyDescent="0.4">
      <c r="A107" s="261" t="s">
        <v>118</v>
      </c>
      <c r="B107" s="262">
        <v>900</v>
      </c>
      <c r="C107" s="409" t="s">
        <v>119</v>
      </c>
      <c r="D107" s="409" t="s">
        <v>63</v>
      </c>
      <c r="E107" s="409" t="s">
        <v>120</v>
      </c>
      <c r="F107" s="371" t="s">
        <v>121</v>
      </c>
    </row>
    <row r="108" spans="1:10" ht="26.25" customHeight="1" x14ac:dyDescent="0.4">
      <c r="A108" s="263" t="s">
        <v>122</v>
      </c>
      <c r="B108" s="264">
        <v>10</v>
      </c>
      <c r="C108" s="414">
        <v>1</v>
      </c>
      <c r="D108" s="415">
        <v>5059383</v>
      </c>
      <c r="E108" s="389">
        <f t="shared" ref="E108:E113" si="1">IF(ISBLANK(D108),"-",D108/$D$103*$D$100*$B$116)</f>
        <v>161.29455280601942</v>
      </c>
      <c r="F108" s="416">
        <f t="shared" ref="F108:F113" si="2">IF(ISBLANK(D108), "-", (E108/$B$56)*100)</f>
        <v>100.80909550376214</v>
      </c>
    </row>
    <row r="109" spans="1:10" ht="26.25" customHeight="1" x14ac:dyDescent="0.4">
      <c r="A109" s="263" t="s">
        <v>95</v>
      </c>
      <c r="B109" s="264">
        <v>50</v>
      </c>
      <c r="C109" s="410">
        <v>2</v>
      </c>
      <c r="D109" s="412">
        <v>4952112</v>
      </c>
      <c r="E109" s="390">
        <f t="shared" si="1"/>
        <v>157.87472315998264</v>
      </c>
      <c r="F109" s="417">
        <f t="shared" si="2"/>
        <v>98.671701974989148</v>
      </c>
    </row>
    <row r="110" spans="1:10" ht="26.25" customHeight="1" x14ac:dyDescent="0.4">
      <c r="A110" s="263" t="s">
        <v>96</v>
      </c>
      <c r="B110" s="264">
        <v>1</v>
      </c>
      <c r="C110" s="410">
        <v>3</v>
      </c>
      <c r="D110" s="412">
        <v>5019046</v>
      </c>
      <c r="E110" s="390">
        <f t="shared" si="1"/>
        <v>160.0085979027167</v>
      </c>
      <c r="F110" s="417">
        <f t="shared" si="2"/>
        <v>100.00537368919792</v>
      </c>
    </row>
    <row r="111" spans="1:10" ht="26.25" customHeight="1" x14ac:dyDescent="0.4">
      <c r="A111" s="263" t="s">
        <v>97</v>
      </c>
      <c r="B111" s="264">
        <v>1</v>
      </c>
      <c r="C111" s="410">
        <v>4</v>
      </c>
      <c r="D111" s="412">
        <v>4939922</v>
      </c>
      <c r="E111" s="390">
        <f t="shared" si="1"/>
        <v>157.48610253199195</v>
      </c>
      <c r="F111" s="417">
        <f t="shared" si="2"/>
        <v>98.428814082494966</v>
      </c>
    </row>
    <row r="112" spans="1:10" ht="26.25" customHeight="1" x14ac:dyDescent="0.4">
      <c r="A112" s="263" t="s">
        <v>98</v>
      </c>
      <c r="B112" s="264">
        <v>1</v>
      </c>
      <c r="C112" s="410">
        <v>5</v>
      </c>
      <c r="D112" s="412">
        <v>4896027</v>
      </c>
      <c r="E112" s="390">
        <f t="shared" si="1"/>
        <v>156.08671758813216</v>
      </c>
      <c r="F112" s="417">
        <f t="shared" si="2"/>
        <v>97.5541984925826</v>
      </c>
    </row>
    <row r="113" spans="1:10" ht="27" customHeight="1" x14ac:dyDescent="0.4">
      <c r="A113" s="263" t="s">
        <v>100</v>
      </c>
      <c r="B113" s="264">
        <v>1</v>
      </c>
      <c r="C113" s="411">
        <v>6</v>
      </c>
      <c r="D113" s="413">
        <v>4909461</v>
      </c>
      <c r="E113" s="391">
        <f t="shared" si="1"/>
        <v>156.51499728595223</v>
      </c>
      <c r="F113" s="418">
        <f t="shared" si="2"/>
        <v>97.821873303720139</v>
      </c>
    </row>
    <row r="114" spans="1:10" ht="27" customHeight="1" x14ac:dyDescent="0.4">
      <c r="A114" s="263" t="s">
        <v>101</v>
      </c>
      <c r="B114" s="264">
        <v>1</v>
      </c>
      <c r="C114" s="372"/>
      <c r="D114" s="330"/>
      <c r="E114" s="237"/>
      <c r="F114" s="419"/>
    </row>
    <row r="115" spans="1:10" ht="26.25" customHeight="1" x14ac:dyDescent="0.4">
      <c r="A115" s="263" t="s">
        <v>102</v>
      </c>
      <c r="B115" s="264">
        <v>1</v>
      </c>
      <c r="C115" s="372"/>
      <c r="D115" s="396" t="s">
        <v>71</v>
      </c>
      <c r="E115" s="398">
        <f>AVERAGE(E108:E113)</f>
        <v>158.21094854579917</v>
      </c>
      <c r="F115" s="420">
        <f>AVERAGE(F108:F113)</f>
        <v>98.881842841124481</v>
      </c>
    </row>
    <row r="116" spans="1:10" ht="27" customHeight="1" x14ac:dyDescent="0.4">
      <c r="A116" s="263" t="s">
        <v>103</v>
      </c>
      <c r="B116" s="295">
        <f>(B115/B114)*(B113/B112)*(B111/B110)*(B109/B108)*B107</f>
        <v>4500</v>
      </c>
      <c r="C116" s="373"/>
      <c r="D116" s="397" t="s">
        <v>84</v>
      </c>
      <c r="E116" s="395">
        <f>STDEV(E108:E113)/E115</f>
        <v>1.2881534430157405E-2</v>
      </c>
      <c r="F116" s="374">
        <f>STDEV(F108:F113)/F115</f>
        <v>1.288153443015738E-2</v>
      </c>
      <c r="I116" s="237"/>
    </row>
    <row r="117" spans="1:10" ht="27" customHeight="1" x14ac:dyDescent="0.4">
      <c r="A117" s="434" t="s">
        <v>78</v>
      </c>
      <c r="B117" s="435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7"/>
      <c r="J117" s="368"/>
    </row>
    <row r="118" spans="1:10" ht="26.25" customHeight="1" x14ac:dyDescent="0.3">
      <c r="A118" s="436"/>
      <c r="B118" s="437"/>
      <c r="C118" s="237"/>
      <c r="D118" s="399"/>
      <c r="E118" s="462" t="s">
        <v>123</v>
      </c>
      <c r="F118" s="463"/>
      <c r="G118" s="237"/>
      <c r="H118" s="237"/>
      <c r="I118" s="237"/>
    </row>
    <row r="119" spans="1:10" ht="25.5" customHeight="1" x14ac:dyDescent="0.4">
      <c r="A119" s="384"/>
      <c r="B119" s="259"/>
      <c r="C119" s="237"/>
      <c r="D119" s="397" t="s">
        <v>124</v>
      </c>
      <c r="E119" s="402">
        <f>MIN(E108:E113)</f>
        <v>156.08671758813216</v>
      </c>
      <c r="F119" s="421">
        <f>MIN(F108:F113)</f>
        <v>97.5541984925826</v>
      </c>
      <c r="G119" s="237"/>
      <c r="H119" s="237"/>
      <c r="I119" s="237"/>
    </row>
    <row r="120" spans="1:10" ht="24" customHeight="1" x14ac:dyDescent="0.4">
      <c r="A120" s="384"/>
      <c r="B120" s="259"/>
      <c r="C120" s="237"/>
      <c r="D120" s="306" t="s">
        <v>125</v>
      </c>
      <c r="E120" s="403">
        <f>MAX(E108:E113)</f>
        <v>161.29455280601942</v>
      </c>
      <c r="F120" s="422">
        <f>MAX(F108:F113)</f>
        <v>100.80909550376214</v>
      </c>
      <c r="G120" s="237"/>
      <c r="H120" s="237"/>
      <c r="I120" s="237"/>
    </row>
    <row r="121" spans="1:10" ht="27" customHeight="1" x14ac:dyDescent="0.3">
      <c r="A121" s="384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 x14ac:dyDescent="0.3">
      <c r="A122" s="384"/>
      <c r="B122" s="259"/>
      <c r="C122" s="237"/>
      <c r="D122" s="237"/>
      <c r="E122" s="237"/>
      <c r="F122" s="330"/>
      <c r="G122" s="237"/>
      <c r="H122" s="237"/>
      <c r="I122" s="237"/>
    </row>
    <row r="123" spans="1:10" ht="18.75" x14ac:dyDescent="0.3">
      <c r="A123" s="384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 x14ac:dyDescent="0.65">
      <c r="A124" s="247" t="s">
        <v>106</v>
      </c>
      <c r="B124" s="336" t="s">
        <v>126</v>
      </c>
      <c r="C124" s="438" t="str">
        <f>B26</f>
        <v xml:space="preserve"> Trimethoprim </v>
      </c>
      <c r="D124" s="438"/>
      <c r="E124" s="337" t="s">
        <v>127</v>
      </c>
      <c r="F124" s="337"/>
      <c r="G124" s="423">
        <f>F115</f>
        <v>98.881842841124481</v>
      </c>
      <c r="H124" s="237"/>
      <c r="I124" s="237"/>
    </row>
    <row r="125" spans="1:10" ht="45.75" customHeight="1" x14ac:dyDescent="0.65">
      <c r="A125" s="247"/>
      <c r="B125" s="336" t="s">
        <v>128</v>
      </c>
      <c r="C125" s="248" t="s">
        <v>129</v>
      </c>
      <c r="D125" s="423">
        <f>MIN(F108:F113)</f>
        <v>97.5541984925826</v>
      </c>
      <c r="E125" s="348" t="s">
        <v>130</v>
      </c>
      <c r="F125" s="423">
        <f>MAX(F108:F113)</f>
        <v>100.80909550376214</v>
      </c>
      <c r="G125" s="338"/>
      <c r="H125" s="237"/>
      <c r="I125" s="237"/>
    </row>
    <row r="126" spans="1:10" ht="19.5" customHeight="1" x14ac:dyDescent="0.3">
      <c r="A126" s="376"/>
      <c r="B126" s="376"/>
      <c r="C126" s="377"/>
      <c r="D126" s="377"/>
      <c r="E126" s="377"/>
      <c r="F126" s="377"/>
      <c r="G126" s="377"/>
      <c r="H126" s="377"/>
    </row>
    <row r="127" spans="1:10" ht="18.75" x14ac:dyDescent="0.3">
      <c r="B127" s="439" t="s">
        <v>26</v>
      </c>
      <c r="C127" s="439"/>
      <c r="E127" s="343" t="s">
        <v>27</v>
      </c>
      <c r="F127" s="378"/>
      <c r="G127" s="439" t="s">
        <v>28</v>
      </c>
      <c r="H127" s="439"/>
    </row>
    <row r="128" spans="1:10" ht="69.95" customHeight="1" x14ac:dyDescent="0.3">
      <c r="A128" s="379" t="s">
        <v>29</v>
      </c>
      <c r="B128" s="380"/>
      <c r="C128" s="380"/>
      <c r="E128" s="380"/>
      <c r="F128" s="237"/>
      <c r="G128" s="381"/>
      <c r="H128" s="381"/>
    </row>
    <row r="129" spans="1:9" ht="69.95" customHeight="1" x14ac:dyDescent="0.3">
      <c r="A129" s="379" t="s">
        <v>30</v>
      </c>
      <c r="B129" s="382"/>
      <c r="C129" s="382"/>
      <c r="E129" s="382"/>
      <c r="F129" s="237"/>
      <c r="G129" s="383"/>
      <c r="H129" s="383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SULFAMETHOXAZOLE</vt:lpstr>
      <vt:lpstr>SST TRIMETHOPRIM</vt:lpstr>
      <vt:lpstr>Uniformity</vt:lpstr>
      <vt:lpstr>Sulfamethoxazole</vt:lpstr>
      <vt:lpstr>Trimethoprim</vt:lpstr>
      <vt:lpstr>'SST SULFAMETHOXAZOLE'!Print_Area</vt:lpstr>
      <vt:lpstr>'SST TRIMETHOPRIM'!Print_Area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2016-10-18T04:56:09Z</cp:lastPrinted>
  <dcterms:created xsi:type="dcterms:W3CDTF">2005-07-05T10:19:27Z</dcterms:created>
  <dcterms:modified xsi:type="dcterms:W3CDTF">2016-10-18T04:56:20Z</dcterms:modified>
</cp:coreProperties>
</file>