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Uniformity" sheetId="8" r:id="rId1"/>
    <sheet name="SST" sheetId="1" r:id="rId2"/>
    <sheet name="ISONIAZID" sheetId="2" r:id="rId3"/>
    <sheet name="STD" sheetId="7" r:id="rId4"/>
  </sheets>
  <definedNames>
    <definedName name="_xlnm.Print_Area" localSheetId="2">ISONIAZID!$A$1:$H$131</definedName>
    <definedName name="_xlnm.Print_Area" localSheetId="0">Uniformity!$A$1:$F$54</definedName>
  </definedNames>
  <calcPr calcId="144525"/>
</workbook>
</file>

<file path=xl/calcChain.xml><?xml version="1.0" encoding="utf-8"?>
<calcChain xmlns="http://schemas.openxmlformats.org/spreadsheetml/2006/main">
  <c r="B57" i="2" l="1"/>
  <c r="C46" i="8"/>
  <c r="D49" i="8" s="1"/>
  <c r="C45" i="8"/>
  <c r="C19" i="8"/>
  <c r="D25" i="8" l="1"/>
  <c r="D29" i="8"/>
  <c r="D33" i="8"/>
  <c r="D37" i="8"/>
  <c r="D41" i="8"/>
  <c r="C50" i="8"/>
  <c r="D30" i="8"/>
  <c r="D38" i="8"/>
  <c r="B49" i="8"/>
  <c r="D50" i="8"/>
  <c r="D27" i="8"/>
  <c r="D31" i="8"/>
  <c r="D35" i="8"/>
  <c r="D39" i="8"/>
  <c r="D43" i="8"/>
  <c r="C49" i="8"/>
  <c r="D26" i="8"/>
  <c r="D34" i="8"/>
  <c r="D42" i="8"/>
  <c r="D24" i="8"/>
  <c r="D28" i="8"/>
  <c r="D32" i="8"/>
  <c r="D36" i="8"/>
  <c r="D40" i="8"/>
  <c r="C75" i="7"/>
  <c r="H70" i="7"/>
  <c r="G70" i="7"/>
  <c r="B67" i="7"/>
  <c r="B68" i="7" s="1"/>
  <c r="H66" i="7"/>
  <c r="G66" i="7"/>
  <c r="H62" i="7"/>
  <c r="G62" i="7"/>
  <c r="E56" i="7"/>
  <c r="B55" i="7"/>
  <c r="B45" i="7"/>
  <c r="D48" i="7" s="1"/>
  <c r="D49" i="7" s="1"/>
  <c r="D44" i="7"/>
  <c r="F42" i="7"/>
  <c r="D42" i="7"/>
  <c r="G41" i="7"/>
  <c r="E41" i="7"/>
  <c r="B34" i="7"/>
  <c r="F44" i="7" s="1"/>
  <c r="B30" i="7"/>
  <c r="C124" i="2"/>
  <c r="B116" i="2"/>
  <c r="D100" i="2"/>
  <c r="B98" i="2"/>
  <c r="F95" i="2"/>
  <c r="D95" i="2"/>
  <c r="I92" i="2" s="1"/>
  <c r="B87" i="2"/>
  <c r="D97" i="2" s="1"/>
  <c r="B81" i="2"/>
  <c r="B83" i="2" s="1"/>
  <c r="B80" i="2"/>
  <c r="B79" i="2"/>
  <c r="C76" i="2"/>
  <c r="B68" i="2"/>
  <c r="B69" i="2" s="1"/>
  <c r="C56" i="2"/>
  <c r="B55" i="2"/>
  <c r="B45" i="2"/>
  <c r="D48" i="2" s="1"/>
  <c r="F42" i="2"/>
  <c r="D42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2" l="1"/>
  <c r="D102" i="2" s="1"/>
  <c r="F97" i="2"/>
  <c r="F98" i="2" s="1"/>
  <c r="F99" i="2" s="1"/>
  <c r="I39" i="2"/>
  <c r="D44" i="2"/>
  <c r="D45" i="2"/>
  <c r="E38" i="2" s="1"/>
  <c r="D49" i="2"/>
  <c r="F45" i="2"/>
  <c r="G41" i="2" s="1"/>
  <c r="D98" i="2"/>
  <c r="D99" i="2" s="1"/>
  <c r="F45" i="7"/>
  <c r="D45" i="7"/>
  <c r="E40" i="7" s="1"/>
  <c r="E38" i="7"/>
  <c r="D46" i="7"/>
  <c r="E93" i="2"/>
  <c r="G39" i="2"/>
  <c r="G40" i="2" l="1"/>
  <c r="G92" i="2"/>
  <c r="G91" i="2"/>
  <c r="E39" i="2"/>
  <c r="E40" i="2"/>
  <c r="D46" i="2"/>
  <c r="E41" i="2"/>
  <c r="G38" i="2"/>
  <c r="F46" i="2"/>
  <c r="E91" i="2"/>
  <c r="E92" i="2"/>
  <c r="E94" i="2"/>
  <c r="G42" i="2"/>
  <c r="G94" i="2"/>
  <c r="G93" i="2"/>
  <c r="E39" i="7"/>
  <c r="F46" i="7"/>
  <c r="G39" i="7"/>
  <c r="G38" i="7"/>
  <c r="G40" i="7"/>
  <c r="G95" i="2" l="1"/>
  <c r="E95" i="2"/>
  <c r="D103" i="2"/>
  <c r="D104" i="2" s="1"/>
  <c r="D105" i="2"/>
  <c r="E42" i="2"/>
  <c r="D50" i="2"/>
  <c r="G70" i="2" s="1"/>
  <c r="H70" i="2" s="1"/>
  <c r="D52" i="2"/>
  <c r="D51" i="7"/>
  <c r="D50" i="7"/>
  <c r="G42" i="7"/>
  <c r="E42" i="7"/>
  <c r="D52" i="7"/>
  <c r="E109" i="2" l="1"/>
  <c r="F109" i="2" s="1"/>
  <c r="E108" i="2"/>
  <c r="F108" i="2" s="1"/>
  <c r="E110" i="2"/>
  <c r="F110" i="2" s="1"/>
  <c r="E111" i="2"/>
  <c r="F111" i="2" s="1"/>
  <c r="E112" i="2"/>
  <c r="F112" i="2" s="1"/>
  <c r="E113" i="2"/>
  <c r="F113" i="2" s="1"/>
  <c r="G69" i="2"/>
  <c r="H69" i="2" s="1"/>
  <c r="G68" i="2"/>
  <c r="H68" i="2" s="1"/>
  <c r="G63" i="2"/>
  <c r="H63" i="2" s="1"/>
  <c r="G62" i="2"/>
  <c r="H62" i="2" s="1"/>
  <c r="G64" i="2"/>
  <c r="H64" i="2" s="1"/>
  <c r="G65" i="2"/>
  <c r="H65" i="2" s="1"/>
  <c r="G60" i="2"/>
  <c r="H60" i="2" s="1"/>
  <c r="G71" i="2"/>
  <c r="H71" i="2" s="1"/>
  <c r="G67" i="2"/>
  <c r="H67" i="2" s="1"/>
  <c r="D51" i="2"/>
  <c r="G66" i="2"/>
  <c r="H66" i="2" s="1"/>
  <c r="G61" i="2"/>
  <c r="H61" i="2" s="1"/>
  <c r="G61" i="7"/>
  <c r="H61" i="7" s="1"/>
  <c r="G67" i="7"/>
  <c r="H67" i="7" s="1"/>
  <c r="G59" i="7"/>
  <c r="H59" i="7" s="1"/>
  <c r="G68" i="7"/>
  <c r="H68" i="7" s="1"/>
  <c r="G60" i="7"/>
  <c r="H60" i="7" s="1"/>
  <c r="G64" i="7"/>
  <c r="H64" i="7" s="1"/>
  <c r="G63" i="7"/>
  <c r="H63" i="7" s="1"/>
  <c r="G69" i="7"/>
  <c r="H69" i="7" s="1"/>
  <c r="G65" i="7"/>
  <c r="H65" i="7" s="1"/>
  <c r="E117" i="2" l="1"/>
  <c r="E119" i="2"/>
  <c r="E120" i="2"/>
  <c r="E115" i="2"/>
  <c r="E116" i="2" s="1"/>
  <c r="G72" i="2"/>
  <c r="G73" i="2" s="1"/>
  <c r="G74" i="2"/>
  <c r="H73" i="7"/>
  <c r="H71" i="7"/>
  <c r="H74" i="2"/>
  <c r="H72" i="2"/>
  <c r="F125" i="2"/>
  <c r="D125" i="2"/>
  <c r="F115" i="2"/>
  <c r="F119" i="2"/>
  <c r="F120" i="2"/>
  <c r="F117" i="2"/>
  <c r="G75" i="7" l="1"/>
  <c r="H72" i="7"/>
  <c r="G76" i="2"/>
  <c r="H73" i="2"/>
  <c r="G124" i="2"/>
  <c r="F116" i="2"/>
</calcChain>
</file>

<file path=xl/sharedStrings.xml><?xml version="1.0" encoding="utf-8"?>
<sst xmlns="http://schemas.openxmlformats.org/spreadsheetml/2006/main" count="336" uniqueCount="157">
  <si>
    <t>HPLC System Suitability Report</t>
  </si>
  <si>
    <t>Analysis Data</t>
  </si>
  <si>
    <t>Assay</t>
  </si>
  <si>
    <t>Sample(s)</t>
  </si>
  <si>
    <t>Reference Substance:</t>
  </si>
  <si>
    <t>ISONIAZID TABLETS BP 300 MG</t>
  </si>
  <si>
    <t>% age Purity:</t>
  </si>
  <si>
    <t>NDQB201610150</t>
  </si>
  <si>
    <t>Weight (mg):</t>
  </si>
  <si>
    <t>Isoniazid BP</t>
  </si>
  <si>
    <t>Standard Conc (mg/mL):</t>
  </si>
  <si>
    <t>Each uncoated tablet contains: Isoniazid BP 300 mg.</t>
  </si>
  <si>
    <t>2016-10-04 14:18:11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</si>
  <si>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</si>
  <si>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</si>
  <si>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</si>
  <si>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</si>
  <si>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</si>
  <si>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</si>
  <si>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</si>
  <si>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</si>
  <si>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</si>
  <si>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</si>
  <si>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</si>
  <si>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</si>
  <si>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</si>
  <si>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</si>
  <si>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</si>
  <si>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</si>
  <si>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</si>
  <si>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</si>
  <si>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</si>
  <si>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</si>
  <si>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</si>
  <si>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</si>
  <si>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</si>
  <si>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</si>
  <si>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</si>
  <si>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</si>
  <si>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</si>
  <si>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</si>
  <si>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</si>
  <si>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</si>
  <si>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</si>
  <si>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</si>
  <si>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</si>
  <si>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</si>
  <si>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</si>
  <si>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</si>
  <si>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</si>
  <si>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</si>
  <si>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</si>
  <si>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</si>
  <si>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</si>
  <si>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</si>
  <si>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</si>
  <si>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</si>
  <si>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</si>
  <si>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</si>
  <si>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</si>
  <si>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</si>
  <si>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</si>
  <si>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</si>
  <si>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</si>
  <si>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</si>
  <si>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</si>
  <si>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</si>
  <si>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</si>
  <si>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</si>
  <si>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</si>
  <si>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</si>
  <si>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</si>
  <si>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</si>
  <si>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</si>
  <si>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</si>
  <si>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</si>
  <si>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</si>
  <si>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</si>
  <si>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</si>
  <si>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</si>
  <si>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</si>
  <si>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</si>
  <si>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</si>
  <si>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</si>
  <si>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</si>
  <si>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</si>
  <si>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</si>
  <si>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</si>
  <si>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</si>
  <si>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</si>
  <si>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</si>
  <si>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</si>
  <si>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</si>
  <si>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</si>
  <si>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</si>
  <si>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</si>
  <si>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</si>
  <si>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</si>
  <si>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</si>
  <si>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</si>
  <si>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</si>
  <si>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</si>
  <si>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</si>
  <si>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</si>
  <si>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</si>
  <si>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</si>
  <si>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</si>
  <si>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</si>
  <si>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</si>
  <si>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</si>
  <si>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</si>
  <si>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</si>
  <si>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</si>
  <si>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</si>
  <si>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</si>
  <si>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</si>
  <si>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</si>
  <si>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</si>
  <si>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</si>
  <si>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</si>
  <si>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</si>
  <si>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</si>
  <si>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</si>
  <si>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</si>
  <si>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National Quality Control Laoboratory</t>
  </si>
  <si>
    <t>If correction for water content is NOT needed, enter 0</t>
  </si>
  <si>
    <t>Initial Standard dilution (mL):</t>
  </si>
  <si>
    <t>Desired Response:</t>
  </si>
  <si>
    <t>Amt of RS (iu):</t>
  </si>
  <si>
    <t>Amt of RS as free base (iu):</t>
  </si>
  <si>
    <t>Conc ((iu/mL):</t>
  </si>
  <si>
    <t>Desired Concetration (iu/mL):</t>
  </si>
  <si>
    <t>Desired Weight as free base (iu):</t>
  </si>
  <si>
    <t>Desired Weight as salt (iu):</t>
  </si>
  <si>
    <t>Average Desired Response:</t>
  </si>
  <si>
    <t>Determination of Amoxicillin Content in Sample</t>
  </si>
  <si>
    <t>Each</t>
  </si>
  <si>
    <t>contains</t>
  </si>
  <si>
    <t>Initial Sample dilution (mL):</t>
  </si>
  <si>
    <t>Sample Vol (mL)</t>
  </si>
  <si>
    <t>Determined Amt (iu)</t>
  </si>
  <si>
    <t>Desired Sample Volume (mL):</t>
  </si>
  <si>
    <t>ISONIAZID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</si>
  <si>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</si>
  <si>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</si>
  <si>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</si>
  <si>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</si>
  <si>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</si>
  <si>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</si>
  <si>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</si>
  <si>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Isoniazid</t>
  </si>
  <si>
    <t>Michael</t>
  </si>
  <si>
    <t>Isoniazid raw material</t>
  </si>
  <si>
    <t xml:space="preserve">Isoniazid </t>
  </si>
  <si>
    <t>I8 - 2</t>
  </si>
  <si>
    <t>Sarah Mwangi</t>
  </si>
  <si>
    <t>20th March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</si>
</sst>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  <numFmt numFmtId="175" formatCode="0.0\ &quot;mL&quot;"/>
    <numFmt numFmtId="176" formatCode="0\ &quot;iu&quot;"/>
    <numFmt numFmtId="177" formatCode="[$-409]d/mmm/yy;@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i/>
      <sz val="10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2" fillId="2" borderId="0"/>
  </cellStyleXfs>
  <cellXfs count="45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1" fillId="2" borderId="0" xfId="0" applyFont="1" applyFill="1" applyAlignment="1">
      <alignment horizontal="left"/>
    </xf>
    <xf numFmtId="166" fontId="11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0" fillId="3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4" xfId="0" applyNumberFormat="1" applyFont="1" applyFill="1" applyBorder="1" applyAlignment="1">
      <alignment horizontal="center"/>
    </xf>
    <xf numFmtId="0" fontId="10" fillId="3" borderId="45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3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169" fontId="8" fillId="2" borderId="29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50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1" fontId="9" fillId="6" borderId="31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6" borderId="36" xfId="0" applyNumberFormat="1" applyFont="1" applyFill="1" applyBorder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6" borderId="37" xfId="0" applyNumberFormat="1" applyFont="1" applyFill="1" applyBorder="1" applyAlignment="1">
      <alignment horizontal="center"/>
    </xf>
    <xf numFmtId="0" fontId="10" fillId="3" borderId="18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1" xfId="0" applyFont="1" applyFill="1" applyBorder="1" applyAlignment="1">
      <alignment horizontal="right"/>
    </xf>
    <xf numFmtId="2" fontId="8" fillId="6" borderId="57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69" fontId="9" fillId="7" borderId="42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10" fontId="8" fillId="6" borderId="36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8" fillId="7" borderId="37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5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6" fontId="10" fillId="3" borderId="0" xfId="0" applyNumberFormat="1" applyFont="1" applyFill="1" applyAlignment="1" applyProtection="1">
      <alignment horizontal="center"/>
      <protection locked="0"/>
    </xf>
    <xf numFmtId="0" fontId="11" fillId="3" borderId="13" xfId="0" applyFont="1" applyFill="1" applyBorder="1" applyAlignment="1" applyProtection="1">
      <alignment horizontal="center"/>
      <protection locked="0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15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1" fillId="3" borderId="23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0" fontId="11" fillId="3" borderId="40" xfId="0" applyFont="1" applyFill="1" applyBorder="1" applyAlignment="1" applyProtection="1">
      <alignment horizontal="center"/>
      <protection locked="0"/>
    </xf>
    <xf numFmtId="2" fontId="8" fillId="2" borderId="14" xfId="0" applyNumberFormat="1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/>
    </xf>
    <xf numFmtId="0" fontId="11" fillId="3" borderId="30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10" fillId="7" borderId="26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16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10" fontId="8" fillId="2" borderId="53" xfId="0" applyNumberFormat="1" applyFont="1" applyFill="1" applyBorder="1" applyAlignment="1">
      <alignment horizontal="center" vertical="center"/>
    </xf>
    <xf numFmtId="10" fontId="8" fillId="2" borderId="42" xfId="0" applyNumberFormat="1" applyFont="1" applyFill="1" applyBorder="1" applyAlignment="1">
      <alignment horizontal="center" vertical="center"/>
    </xf>
    <xf numFmtId="0" fontId="11" fillId="2" borderId="0" xfId="0" applyFont="1" applyFill="1" applyAlignment="1" applyProtection="1">
      <alignment horizontal="right"/>
      <protection locked="0"/>
    </xf>
    <xf numFmtId="0" fontId="1" fillId="2" borderId="0" xfId="1" applyFont="1" applyFill="1"/>
    <xf numFmtId="0" fontId="22" fillId="2" borderId="0" xfId="1" applyFill="1"/>
    <xf numFmtId="0" fontId="23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7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7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24" fillId="2" borderId="0" xfId="1" applyFont="1" applyFill="1"/>
    <xf numFmtId="164" fontId="1" fillId="2" borderId="0" xfId="1" applyNumberFormat="1" applyFont="1" applyFill="1"/>
    <xf numFmtId="164" fontId="5" fillId="2" borderId="19" xfId="1" applyNumberFormat="1" applyFont="1" applyFill="1" applyBorder="1" applyAlignment="1">
      <alignment horizontal="center" wrapText="1"/>
    </xf>
    <xf numFmtId="0" fontId="5" fillId="2" borderId="19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40" xfId="1" applyNumberFormat="1" applyFont="1" applyFill="1" applyBorder="1" applyProtection="1">
      <protection locked="0"/>
    </xf>
    <xf numFmtId="10" fontId="6" fillId="2" borderId="2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40" xfId="1" applyNumberFormat="1" applyFont="1" applyFill="1" applyBorder="1" applyAlignment="1">
      <alignment horizontal="center"/>
    </xf>
    <xf numFmtId="2" fontId="6" fillId="3" borderId="30" xfId="1" applyNumberFormat="1" applyFont="1" applyFill="1" applyBorder="1" applyProtection="1">
      <protection locked="0"/>
    </xf>
    <xf numFmtId="10" fontId="6" fillId="2" borderId="30" xfId="1" applyNumberFormat="1" applyFont="1" applyFill="1" applyBorder="1" applyAlignment="1">
      <alignment horizontal="center"/>
    </xf>
    <xf numFmtId="170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9" xfId="1" applyFont="1" applyFill="1" applyBorder="1" applyAlignment="1">
      <alignment horizontal="right" vertical="center"/>
    </xf>
    <xf numFmtId="170" fontId="6" fillId="2" borderId="19" xfId="1" applyNumberFormat="1" applyFont="1" applyFill="1" applyBorder="1" applyAlignment="1">
      <alignment horizontal="center" vertical="center"/>
    </xf>
    <xf numFmtId="170" fontId="6" fillId="2" borderId="0" xfId="1" applyNumberFormat="1" applyFont="1" applyFill="1" applyAlignment="1">
      <alignment horizontal="center"/>
    </xf>
    <xf numFmtId="164" fontId="5" fillId="2" borderId="19" xfId="1" applyNumberFormat="1" applyFont="1" applyFill="1" applyBorder="1" applyAlignment="1">
      <alignment horizontal="center" vertical="center"/>
    </xf>
    <xf numFmtId="2" fontId="25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25" fillId="2" borderId="0" xfId="1" applyNumberFormat="1" applyFont="1" applyFill="1"/>
    <xf numFmtId="0" fontId="5" fillId="2" borderId="19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35" xfId="1" applyNumberFormat="1" applyFont="1" applyFill="1" applyBorder="1" applyAlignment="1">
      <alignment horizontal="center"/>
    </xf>
    <xf numFmtId="2" fontId="5" fillId="2" borderId="19" xfId="1" applyNumberFormat="1" applyFont="1" applyFill="1" applyBorder="1" applyAlignment="1">
      <alignment horizontal="center" vertical="center"/>
    </xf>
    <xf numFmtId="165" fontId="5" fillId="2" borderId="3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169" fontId="10" fillId="3" borderId="23" xfId="0" applyNumberFormat="1" applyFont="1" applyFill="1" applyBorder="1" applyAlignment="1" applyProtection="1">
      <alignment horizontal="center"/>
      <protection locked="0"/>
    </xf>
    <xf numFmtId="169" fontId="10" fillId="3" borderId="40" xfId="0" applyNumberFormat="1" applyFont="1" applyFill="1" applyBorder="1" applyAlignment="1" applyProtection="1">
      <alignment horizontal="center"/>
      <protection locked="0"/>
    </xf>
    <xf numFmtId="169" fontId="10" fillId="3" borderId="30" xfId="0" applyNumberFormat="1" applyFont="1" applyFill="1" applyBorder="1" applyAlignment="1" applyProtection="1">
      <alignment horizontal="center"/>
      <protection locked="0"/>
    </xf>
    <xf numFmtId="170" fontId="5" fillId="2" borderId="23" xfId="1" applyNumberFormat="1" applyFont="1" applyFill="1" applyBorder="1" applyAlignment="1">
      <alignment horizontal="center" vertical="center"/>
    </xf>
    <xf numFmtId="170" fontId="5" fillId="2" borderId="30" xfId="1" applyNumberFormat="1" applyFont="1" applyFill="1" applyBorder="1" applyAlignment="1">
      <alignment horizontal="center" vertical="center"/>
    </xf>
    <xf numFmtId="0" fontId="23" fillId="2" borderId="54" xfId="1" applyFont="1" applyFill="1" applyBorder="1" applyAlignment="1">
      <alignment horizontal="center" wrapText="1"/>
    </xf>
    <xf numFmtId="0" fontId="23" fillId="2" borderId="55" xfId="1" applyFont="1" applyFill="1" applyBorder="1" applyAlignment="1">
      <alignment horizontal="center" wrapText="1"/>
    </xf>
    <xf numFmtId="0" fontId="23" fillId="2" borderId="56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2" fontId="11" fillId="3" borderId="23" xfId="0" applyNumberFormat="1" applyFont="1" applyFill="1" applyBorder="1" applyAlignment="1" applyProtection="1">
      <alignment horizontal="center" vertical="center"/>
      <protection locked="0"/>
    </xf>
    <xf numFmtId="2" fontId="11" fillId="3" borderId="40" xfId="0" applyNumberFormat="1" applyFont="1" applyFill="1" applyBorder="1" applyAlignment="1" applyProtection="1">
      <alignment horizontal="center" vertical="center"/>
      <protection locked="0"/>
    </xf>
    <xf numFmtId="2" fontId="11" fillId="3" borderId="30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3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topLeftCell="A40" workbookViewId="0">
      <selection activeCell="D44" sqref="D44"/>
    </sheetView>
  </sheetViews>
  <sheetFormatPr defaultRowHeight="15" x14ac:dyDescent="0.3"/>
  <cols>
    <col min="1" max="1" width="15.5703125" style="357" customWidth="1"/>
    <col min="2" max="2" width="18.42578125" style="357" customWidth="1"/>
    <col min="3" max="3" width="14.28515625" style="357" customWidth="1"/>
    <col min="4" max="4" width="15" style="357" customWidth="1"/>
    <col min="5" max="5" width="9.140625" style="357" customWidth="1"/>
    <col min="6" max="6" width="27.85546875" style="357" customWidth="1"/>
    <col min="7" max="7" width="12.28515625" style="357" customWidth="1"/>
    <col min="8" max="8" width="9.140625" style="357" customWidth="1"/>
    <col min="9" max="16384" width="9.140625" style="358"/>
  </cols>
  <sheetData>
    <row r="10" spans="1:7" ht="13.5" customHeight="1" thickBot="1" x14ac:dyDescent="0.35"/>
    <row r="11" spans="1:7" ht="13.5" customHeight="1" thickBot="1" x14ac:dyDescent="0.35">
      <c r="A11" s="406" t="s">
        <v>33</v>
      </c>
      <c r="B11" s="407"/>
      <c r="C11" s="407"/>
      <c r="D11" s="407"/>
      <c r="E11" s="407"/>
      <c r="F11" s="408"/>
      <c r="G11" s="359"/>
    </row>
    <row r="12" spans="1:7" ht="16.5" customHeight="1" x14ac:dyDescent="0.3">
      <c r="A12" s="409" t="s">
        <v>143</v>
      </c>
      <c r="B12" s="409"/>
      <c r="C12" s="409"/>
      <c r="D12" s="409"/>
      <c r="E12" s="409"/>
      <c r="F12" s="409"/>
      <c r="G12" s="360"/>
    </row>
    <row r="14" spans="1:7" ht="16.5" customHeight="1" x14ac:dyDescent="0.3">
      <c r="A14" s="410" t="s">
        <v>35</v>
      </c>
      <c r="B14" s="410"/>
      <c r="C14" s="361" t="s">
        <v>5</v>
      </c>
    </row>
    <row r="15" spans="1:7" ht="16.5" customHeight="1" x14ac:dyDescent="0.3">
      <c r="A15" s="410" t="s">
        <v>36</v>
      </c>
      <c r="B15" s="410"/>
      <c r="C15" s="361" t="s">
        <v>7</v>
      </c>
    </row>
    <row r="16" spans="1:7" ht="16.5" customHeight="1" x14ac:dyDescent="0.3">
      <c r="A16" s="410" t="s">
        <v>37</v>
      </c>
      <c r="B16" s="410"/>
      <c r="C16" s="361" t="s">
        <v>9</v>
      </c>
    </row>
    <row r="17" spans="1:5" ht="16.5" customHeight="1" x14ac:dyDescent="0.3">
      <c r="A17" s="410" t="s">
        <v>38</v>
      </c>
      <c r="B17" s="410"/>
      <c r="C17" s="361" t="s">
        <v>11</v>
      </c>
    </row>
    <row r="18" spans="1:5" ht="16.5" customHeight="1" x14ac:dyDescent="0.3">
      <c r="A18" s="410" t="s">
        <v>39</v>
      </c>
      <c r="B18" s="410"/>
      <c r="C18" s="362" t="s">
        <v>12</v>
      </c>
    </row>
    <row r="19" spans="1:5" ht="16.5" customHeight="1" x14ac:dyDescent="0.3">
      <c r="A19" s="410" t="s">
        <v>40</v>
      </c>
      <c r="B19" s="410"/>
      <c r="C19" s="362" t="e">
        <f>#REF!</f>
        <v>#REF!</v>
      </c>
    </row>
    <row r="20" spans="1:5" ht="16.5" customHeight="1" x14ac:dyDescent="0.3">
      <c r="A20" s="363"/>
      <c r="B20" s="363"/>
      <c r="C20" s="364"/>
    </row>
    <row r="21" spans="1:5" ht="16.5" customHeight="1" x14ac:dyDescent="0.3">
      <c r="A21" s="409" t="s">
        <v>1</v>
      </c>
      <c r="B21" s="409"/>
      <c r="C21" s="365" t="s">
        <v>144</v>
      </c>
      <c r="D21" s="366"/>
    </row>
    <row r="22" spans="1:5" ht="15.75" customHeight="1" thickBot="1" x14ac:dyDescent="0.35">
      <c r="A22" s="411"/>
      <c r="B22" s="411"/>
      <c r="C22" s="367"/>
      <c r="D22" s="411"/>
      <c r="E22" s="411"/>
    </row>
    <row r="23" spans="1:5" ht="33.75" customHeight="1" thickBot="1" x14ac:dyDescent="0.35">
      <c r="C23" s="368" t="s">
        <v>145</v>
      </c>
      <c r="D23" s="369" t="s">
        <v>146</v>
      </c>
      <c r="E23" s="370"/>
    </row>
    <row r="24" spans="1:5" ht="15.75" customHeight="1" x14ac:dyDescent="0.3">
      <c r="C24" s="371">
        <v>401.67</v>
      </c>
      <c r="D24" s="372">
        <f t="shared" ref="D24:D43" si="0">(C24-$C$46)/$C$46</f>
        <v>6.2264441630375403E-3</v>
      </c>
      <c r="E24" s="373"/>
    </row>
    <row r="25" spans="1:5" ht="15.75" customHeight="1" x14ac:dyDescent="0.3">
      <c r="C25" s="371">
        <v>395.97</v>
      </c>
      <c r="D25" s="374">
        <f t="shared" si="0"/>
        <v>-8.0526673756118536E-3</v>
      </c>
      <c r="E25" s="373"/>
    </row>
    <row r="26" spans="1:5" ht="15.75" customHeight="1" x14ac:dyDescent="0.3">
      <c r="C26" s="371">
        <v>403.58</v>
      </c>
      <c r="D26" s="374">
        <f t="shared" si="0"/>
        <v>1.1011199082128758E-2</v>
      </c>
      <c r="E26" s="373"/>
    </row>
    <row r="27" spans="1:5" ht="15.75" customHeight="1" x14ac:dyDescent="0.3">
      <c r="C27" s="371">
        <v>401.03</v>
      </c>
      <c r="D27" s="374">
        <f t="shared" si="0"/>
        <v>4.6231754990487244E-3</v>
      </c>
      <c r="E27" s="373"/>
    </row>
    <row r="28" spans="1:5" ht="15.75" customHeight="1" x14ac:dyDescent="0.3">
      <c r="C28" s="371">
        <v>403.55</v>
      </c>
      <c r="D28" s="374">
        <f t="shared" si="0"/>
        <v>1.0936045863504357E-2</v>
      </c>
      <c r="E28" s="373"/>
    </row>
    <row r="29" spans="1:5" ht="15.75" customHeight="1" x14ac:dyDescent="0.3">
      <c r="C29" s="371">
        <v>397.19</v>
      </c>
      <c r="D29" s="374">
        <f t="shared" si="0"/>
        <v>-4.9964364848834554E-3</v>
      </c>
      <c r="E29" s="373"/>
    </row>
    <row r="30" spans="1:5" ht="15.75" customHeight="1" x14ac:dyDescent="0.3">
      <c r="C30" s="371">
        <v>395.9</v>
      </c>
      <c r="D30" s="374">
        <f t="shared" si="0"/>
        <v>-8.2280248857357439E-3</v>
      </c>
      <c r="E30" s="373"/>
    </row>
    <row r="31" spans="1:5" ht="15.75" customHeight="1" x14ac:dyDescent="0.3">
      <c r="C31" s="371">
        <v>391.3</v>
      </c>
      <c r="D31" s="374">
        <f t="shared" si="0"/>
        <v>-1.9751518408154492E-2</v>
      </c>
      <c r="E31" s="373"/>
    </row>
    <row r="32" spans="1:5" ht="15.75" customHeight="1" x14ac:dyDescent="0.3">
      <c r="C32" s="371">
        <v>398.12</v>
      </c>
      <c r="D32" s="374">
        <f t="shared" si="0"/>
        <v>-2.6666867075248483E-3</v>
      </c>
      <c r="E32" s="373"/>
    </row>
    <row r="33" spans="1:7" ht="15.75" customHeight="1" x14ac:dyDescent="0.3">
      <c r="C33" s="371">
        <v>398.41</v>
      </c>
      <c r="D33" s="374">
        <f t="shared" si="0"/>
        <v>-1.940205594154914E-3</v>
      </c>
      <c r="E33" s="373"/>
    </row>
    <row r="34" spans="1:7" ht="15.75" customHeight="1" x14ac:dyDescent="0.3">
      <c r="C34" s="371">
        <v>398.15</v>
      </c>
      <c r="D34" s="374">
        <f t="shared" si="0"/>
        <v>-2.5915334889004462E-3</v>
      </c>
      <c r="E34" s="373"/>
    </row>
    <row r="35" spans="1:7" ht="15.75" customHeight="1" x14ac:dyDescent="0.3">
      <c r="C35" s="371">
        <v>404.13</v>
      </c>
      <c r="D35" s="374">
        <f t="shared" si="0"/>
        <v>1.2389008090244081E-2</v>
      </c>
      <c r="E35" s="373"/>
    </row>
    <row r="36" spans="1:7" ht="15.75" customHeight="1" x14ac:dyDescent="0.3">
      <c r="C36" s="371">
        <v>395.22</v>
      </c>
      <c r="D36" s="374">
        <f t="shared" si="0"/>
        <v>-9.9314978412236212E-3</v>
      </c>
      <c r="E36" s="373"/>
    </row>
    <row r="37" spans="1:7" ht="15.75" customHeight="1" x14ac:dyDescent="0.3">
      <c r="C37" s="371">
        <v>395.4</v>
      </c>
      <c r="D37" s="374">
        <f t="shared" si="0"/>
        <v>-9.4805785294769223E-3</v>
      </c>
      <c r="E37" s="373"/>
    </row>
    <row r="38" spans="1:7" ht="15.75" customHeight="1" x14ac:dyDescent="0.3">
      <c r="C38" s="371">
        <v>400.09</v>
      </c>
      <c r="D38" s="374">
        <f t="shared" si="0"/>
        <v>2.2683746488153167E-3</v>
      </c>
      <c r="E38" s="373"/>
    </row>
    <row r="39" spans="1:7" ht="15.75" customHeight="1" x14ac:dyDescent="0.3">
      <c r="C39" s="371">
        <v>401.26</v>
      </c>
      <c r="D39" s="374">
        <f t="shared" si="0"/>
        <v>5.1993501751697122E-3</v>
      </c>
      <c r="E39" s="373"/>
    </row>
    <row r="40" spans="1:7" ht="15.75" customHeight="1" x14ac:dyDescent="0.3">
      <c r="C40" s="371">
        <v>398.53</v>
      </c>
      <c r="D40" s="374">
        <f t="shared" si="0"/>
        <v>-1.6395927196571625E-3</v>
      </c>
      <c r="E40" s="373"/>
    </row>
    <row r="41" spans="1:7" ht="15.75" customHeight="1" x14ac:dyDescent="0.3">
      <c r="C41" s="371">
        <v>398.28</v>
      </c>
      <c r="D41" s="374">
        <f t="shared" si="0"/>
        <v>-2.2658695415277512E-3</v>
      </c>
      <c r="E41" s="373"/>
    </row>
    <row r="42" spans="1:7" ht="15.75" customHeight="1" x14ac:dyDescent="0.3">
      <c r="C42" s="371">
        <v>402.66</v>
      </c>
      <c r="D42" s="374">
        <f t="shared" si="0"/>
        <v>8.7065003776450947E-3</v>
      </c>
      <c r="E42" s="373"/>
    </row>
    <row r="43" spans="1:7" ht="16.5" customHeight="1" thickBot="1" x14ac:dyDescent="0.35">
      <c r="C43" s="375">
        <v>403.25</v>
      </c>
      <c r="D43" s="376">
        <f t="shared" si="0"/>
        <v>1.0184513677259621E-2</v>
      </c>
      <c r="E43" s="373"/>
    </row>
    <row r="44" spans="1:7" ht="16.5" customHeight="1" thickBot="1" x14ac:dyDescent="0.35">
      <c r="C44" s="377"/>
      <c r="D44" s="373"/>
      <c r="E44" s="378"/>
    </row>
    <row r="45" spans="1:7" ht="16.5" customHeight="1" thickBot="1" x14ac:dyDescent="0.35">
      <c r="B45" s="379" t="s">
        <v>147</v>
      </c>
      <c r="C45" s="380">
        <f>SUM(C24:C44)</f>
        <v>7983.69</v>
      </c>
      <c r="D45" s="381"/>
      <c r="E45" s="377"/>
    </row>
    <row r="46" spans="1:7" ht="17.25" customHeight="1" thickBot="1" x14ac:dyDescent="0.35">
      <c r="B46" s="379" t="s">
        <v>148</v>
      </c>
      <c r="C46" s="382">
        <f>AVERAGE(C24:C44)</f>
        <v>399.18449999999996</v>
      </c>
      <c r="E46" s="383"/>
    </row>
    <row r="47" spans="1:7" ht="17.25" customHeight="1" thickBot="1" x14ac:dyDescent="0.35">
      <c r="A47" s="361"/>
      <c r="B47" s="384"/>
      <c r="D47" s="385"/>
      <c r="E47" s="383"/>
    </row>
    <row r="48" spans="1:7" ht="33.75" customHeight="1" thickBot="1" x14ac:dyDescent="0.35">
      <c r="B48" s="386" t="s">
        <v>148</v>
      </c>
      <c r="C48" s="369" t="s">
        <v>149</v>
      </c>
      <c r="D48" s="387"/>
      <c r="G48" s="385"/>
    </row>
    <row r="49" spans="1:6" ht="17.25" customHeight="1" thickBot="1" x14ac:dyDescent="0.35">
      <c r="B49" s="404">
        <f>C46</f>
        <v>399.18449999999996</v>
      </c>
      <c r="C49" s="388">
        <f>-IF(C46&lt;=80,10%,IF(C46&lt;250,7.5%,5%))</f>
        <v>-0.05</v>
      </c>
      <c r="D49" s="389">
        <f>IF(C46&lt;=80,C46*0.9,IF(C46&lt;250,C46*0.925,C46*0.95))</f>
        <v>379.22527499999995</v>
      </c>
    </row>
    <row r="50" spans="1:6" ht="17.25" customHeight="1" thickBot="1" x14ac:dyDescent="0.35">
      <c r="B50" s="405"/>
      <c r="C50" s="390">
        <f>IF(C46&lt;=80, 10%, IF(C46&lt;250, 7.5%, 5%))</f>
        <v>0.05</v>
      </c>
      <c r="D50" s="389">
        <f>IF(C46&lt;=80, C46*1.1, IF(C46&lt;250, C46*1.075, C46*1.05))</f>
        <v>419.14372499999996</v>
      </c>
    </row>
    <row r="51" spans="1:6" ht="16.5" customHeight="1" thickBot="1" x14ac:dyDescent="0.35">
      <c r="A51" s="391"/>
      <c r="B51" s="392"/>
      <c r="C51" s="361"/>
      <c r="D51" s="393"/>
      <c r="E51" s="361"/>
      <c r="F51" s="366"/>
    </row>
    <row r="52" spans="1:6" ht="16.5" customHeight="1" x14ac:dyDescent="0.3">
      <c r="A52" s="361"/>
      <c r="B52" s="394" t="s">
        <v>26</v>
      </c>
      <c r="C52" s="394"/>
      <c r="D52" s="395" t="s">
        <v>27</v>
      </c>
      <c r="E52" s="396"/>
      <c r="F52" s="395" t="s">
        <v>28</v>
      </c>
    </row>
    <row r="53" spans="1:6" ht="34.5" customHeight="1" x14ac:dyDescent="0.3">
      <c r="A53" s="363" t="s">
        <v>29</v>
      </c>
      <c r="B53" s="397"/>
      <c r="C53" s="361"/>
      <c r="D53" s="397"/>
      <c r="E53" s="361"/>
      <c r="F53" s="397"/>
    </row>
    <row r="54" spans="1:6" ht="34.5" customHeight="1" x14ac:dyDescent="0.3">
      <c r="A54" s="363" t="s">
        <v>30</v>
      </c>
      <c r="B54" s="398"/>
      <c r="C54" s="399"/>
      <c r="D54" s="398"/>
      <c r="E54" s="361"/>
      <c r="F54" s="400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1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0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9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8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7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6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5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4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3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2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1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0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9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8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7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6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5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4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3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2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1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12" t="s">
        <v>0</v>
      </c>
      <c r="B15" s="412"/>
      <c r="C15" s="412"/>
      <c r="D15" s="412"/>
      <c r="E15" s="41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185253244</v>
      </c>
      <c r="C24" s="18">
        <v>6812.4</v>
      </c>
      <c r="D24" s="19">
        <v>1.4</v>
      </c>
      <c r="E24" s="20">
        <v>4.5</v>
      </c>
    </row>
    <row r="25" spans="1:6" ht="16.5" customHeight="1" x14ac:dyDescent="0.3">
      <c r="A25" s="17">
        <v>2</v>
      </c>
      <c r="B25" s="18">
        <v>184990366</v>
      </c>
      <c r="C25" s="18">
        <v>6817.3</v>
      </c>
      <c r="D25" s="19">
        <v>1.4</v>
      </c>
      <c r="E25" s="19">
        <v>4.5</v>
      </c>
    </row>
    <row r="26" spans="1:6" ht="16.5" customHeight="1" x14ac:dyDescent="0.3">
      <c r="A26" s="17">
        <v>3</v>
      </c>
      <c r="B26" s="18">
        <v>185015122</v>
      </c>
      <c r="C26" s="18">
        <v>6933.6</v>
      </c>
      <c r="D26" s="19">
        <v>1.4</v>
      </c>
      <c r="E26" s="19">
        <v>4.4000000000000004</v>
      </c>
    </row>
    <row r="27" spans="1:6" ht="16.5" customHeight="1" x14ac:dyDescent="0.3">
      <c r="A27" s="17">
        <v>4</v>
      </c>
      <c r="B27" s="18">
        <v>184921760</v>
      </c>
      <c r="C27" s="18">
        <v>6950.5</v>
      </c>
      <c r="D27" s="19">
        <v>1.4</v>
      </c>
      <c r="E27" s="19">
        <v>4.4000000000000004</v>
      </c>
    </row>
    <row r="28" spans="1:6" ht="16.5" customHeight="1" x14ac:dyDescent="0.3">
      <c r="A28" s="17">
        <v>5</v>
      </c>
      <c r="B28" s="18">
        <v>184781371</v>
      </c>
      <c r="C28" s="18">
        <v>7043.7</v>
      </c>
      <c r="D28" s="19">
        <v>1.4</v>
      </c>
      <c r="E28" s="19">
        <v>4.4000000000000004</v>
      </c>
    </row>
    <row r="29" spans="1:6" ht="16.5" customHeight="1" x14ac:dyDescent="0.3">
      <c r="A29" s="17">
        <v>6</v>
      </c>
      <c r="B29" s="21">
        <v>184915871</v>
      </c>
      <c r="C29" s="21">
        <v>6927.2</v>
      </c>
      <c r="D29" s="22">
        <v>1.4</v>
      </c>
      <c r="E29" s="22">
        <v>4.4000000000000004</v>
      </c>
    </row>
    <row r="30" spans="1:6" ht="16.5" customHeight="1" x14ac:dyDescent="0.3">
      <c r="A30" s="23" t="s">
        <v>18</v>
      </c>
      <c r="B30" s="24">
        <f>AVERAGE(B24:B29)</f>
        <v>184979622.33333334</v>
      </c>
      <c r="C30" s="25">
        <f>AVERAGE(C24:C29)</f>
        <v>6914.1166666666659</v>
      </c>
      <c r="D30" s="26">
        <f>AVERAGE(D24:D29)</f>
        <v>1.4000000000000001</v>
      </c>
      <c r="E30" s="26">
        <f>AVERAGE(E24:E29)</f>
        <v>4.4333333333333336</v>
      </c>
    </row>
    <row r="31" spans="1:6" ht="16.5" customHeight="1" x14ac:dyDescent="0.3">
      <c r="A31" s="27" t="s">
        <v>19</v>
      </c>
      <c r="B31" s="28">
        <f>(STDEV(B24:B29)/B30)</f>
        <v>8.4776140569687197E-4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13" t="s">
        <v>26</v>
      </c>
      <c r="C59" s="41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9" zoomScale="40" zoomScaleNormal="40" zoomScaleSheetLayoutView="40" zoomScalePageLayoutView="44" workbookViewId="0">
      <selection activeCell="B129" sqref="B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14" t="s">
        <v>31</v>
      </c>
      <c r="B1" s="414"/>
      <c r="C1" s="414"/>
      <c r="D1" s="414"/>
      <c r="E1" s="414"/>
      <c r="F1" s="414"/>
      <c r="G1" s="414"/>
      <c r="H1" s="414"/>
      <c r="I1" s="414"/>
    </row>
    <row r="2" spans="1:9" ht="18.75" customHeight="1" x14ac:dyDescent="0.25">
      <c r="A2" s="414"/>
      <c r="B2" s="414"/>
      <c r="C2" s="414"/>
      <c r="D2" s="414"/>
      <c r="E2" s="414"/>
      <c r="F2" s="414"/>
      <c r="G2" s="414"/>
      <c r="H2" s="414"/>
      <c r="I2" s="414"/>
    </row>
    <row r="3" spans="1:9" ht="18.75" customHeight="1" x14ac:dyDescent="0.25">
      <c r="A3" s="414"/>
      <c r="B3" s="414"/>
      <c r="C3" s="414"/>
      <c r="D3" s="414"/>
      <c r="E3" s="414"/>
      <c r="F3" s="414"/>
      <c r="G3" s="414"/>
      <c r="H3" s="414"/>
      <c r="I3" s="414"/>
    </row>
    <row r="4" spans="1:9" ht="18.75" customHeight="1" x14ac:dyDescent="0.25">
      <c r="A4" s="414"/>
      <c r="B4" s="414"/>
      <c r="C4" s="414"/>
      <c r="D4" s="414"/>
      <c r="E4" s="414"/>
      <c r="F4" s="414"/>
      <c r="G4" s="414"/>
      <c r="H4" s="414"/>
      <c r="I4" s="414"/>
    </row>
    <row r="5" spans="1:9" ht="18.75" customHeight="1" x14ac:dyDescent="0.25">
      <c r="A5" s="414"/>
      <c r="B5" s="414"/>
      <c r="C5" s="414"/>
      <c r="D5" s="414"/>
      <c r="E5" s="414"/>
      <c r="F5" s="414"/>
      <c r="G5" s="414"/>
      <c r="H5" s="414"/>
      <c r="I5" s="414"/>
    </row>
    <row r="6" spans="1:9" ht="18.75" customHeight="1" x14ac:dyDescent="0.25">
      <c r="A6" s="414"/>
      <c r="B6" s="414"/>
      <c r="C6" s="414"/>
      <c r="D6" s="414"/>
      <c r="E6" s="414"/>
      <c r="F6" s="414"/>
      <c r="G6" s="414"/>
      <c r="H6" s="414"/>
      <c r="I6" s="414"/>
    </row>
    <row r="7" spans="1:9" ht="18.75" customHeight="1" x14ac:dyDescent="0.25">
      <c r="A7" s="414"/>
      <c r="B7" s="414"/>
      <c r="C7" s="414"/>
      <c r="D7" s="414"/>
      <c r="E7" s="414"/>
      <c r="F7" s="414"/>
      <c r="G7" s="414"/>
      <c r="H7" s="414"/>
      <c r="I7" s="414"/>
    </row>
    <row r="8" spans="1:9" x14ac:dyDescent="0.25">
      <c r="A8" s="415" t="s">
        <v>32</v>
      </c>
      <c r="B8" s="415"/>
      <c r="C8" s="415"/>
      <c r="D8" s="415"/>
      <c r="E8" s="415"/>
      <c r="F8" s="415"/>
      <c r="G8" s="415"/>
      <c r="H8" s="415"/>
      <c r="I8" s="415"/>
    </row>
    <row r="9" spans="1:9" x14ac:dyDescent="0.25">
      <c r="A9" s="415"/>
      <c r="B9" s="415"/>
      <c r="C9" s="415"/>
      <c r="D9" s="415"/>
      <c r="E9" s="415"/>
      <c r="F9" s="415"/>
      <c r="G9" s="415"/>
      <c r="H9" s="415"/>
      <c r="I9" s="415"/>
    </row>
    <row r="10" spans="1:9" x14ac:dyDescent="0.25">
      <c r="A10" s="415"/>
      <c r="B10" s="415"/>
      <c r="C10" s="415"/>
      <c r="D10" s="415"/>
      <c r="E10" s="415"/>
      <c r="F10" s="415"/>
      <c r="G10" s="415"/>
      <c r="H10" s="415"/>
      <c r="I10" s="415"/>
    </row>
    <row r="11" spans="1:9" x14ac:dyDescent="0.25">
      <c r="A11" s="415"/>
      <c r="B11" s="415"/>
      <c r="C11" s="415"/>
      <c r="D11" s="415"/>
      <c r="E11" s="415"/>
      <c r="F11" s="415"/>
      <c r="G11" s="415"/>
      <c r="H11" s="415"/>
      <c r="I11" s="415"/>
    </row>
    <row r="12" spans="1:9" x14ac:dyDescent="0.25">
      <c r="A12" s="415"/>
      <c r="B12" s="415"/>
      <c r="C12" s="415"/>
      <c r="D12" s="415"/>
      <c r="E12" s="415"/>
      <c r="F12" s="415"/>
      <c r="G12" s="415"/>
      <c r="H12" s="415"/>
      <c r="I12" s="415"/>
    </row>
    <row r="13" spans="1:9" x14ac:dyDescent="0.25">
      <c r="A13" s="415"/>
      <c r="B13" s="415"/>
      <c r="C13" s="415"/>
      <c r="D13" s="415"/>
      <c r="E13" s="415"/>
      <c r="F13" s="415"/>
      <c r="G13" s="415"/>
      <c r="H13" s="415"/>
      <c r="I13" s="415"/>
    </row>
    <row r="14" spans="1:9" x14ac:dyDescent="0.25">
      <c r="A14" s="415"/>
      <c r="B14" s="415"/>
      <c r="C14" s="415"/>
      <c r="D14" s="415"/>
      <c r="E14" s="415"/>
      <c r="F14" s="415"/>
      <c r="G14" s="415"/>
      <c r="H14" s="415"/>
      <c r="I14" s="415"/>
    </row>
    <row r="15" spans="1:9" ht="19.5" customHeight="1" x14ac:dyDescent="0.3">
      <c r="A15" s="52"/>
    </row>
    <row r="16" spans="1:9" ht="19.5" customHeight="1" x14ac:dyDescent="0.3">
      <c r="A16" s="447" t="s">
        <v>33</v>
      </c>
      <c r="B16" s="448"/>
      <c r="C16" s="448"/>
      <c r="D16" s="448"/>
      <c r="E16" s="448"/>
      <c r="F16" s="448"/>
      <c r="G16" s="448"/>
      <c r="H16" s="449"/>
    </row>
    <row r="17" spans="1:14" ht="20.25" customHeight="1" x14ac:dyDescent="0.25">
      <c r="A17" s="450" t="s">
        <v>34</v>
      </c>
      <c r="B17" s="450"/>
      <c r="C17" s="450"/>
      <c r="D17" s="450"/>
      <c r="E17" s="450"/>
      <c r="F17" s="450"/>
      <c r="G17" s="450"/>
      <c r="H17" s="450"/>
    </row>
    <row r="18" spans="1:14" ht="26.25" customHeight="1" x14ac:dyDescent="0.4">
      <c r="A18" s="54" t="s">
        <v>35</v>
      </c>
      <c r="B18" s="446" t="s">
        <v>5</v>
      </c>
      <c r="C18" s="446"/>
      <c r="D18" s="200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451" t="s">
        <v>9</v>
      </c>
      <c r="C20" s="451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451" t="s">
        <v>11</v>
      </c>
      <c r="C21" s="451"/>
      <c r="D21" s="451"/>
      <c r="E21" s="451"/>
      <c r="F21" s="451"/>
      <c r="G21" s="451"/>
      <c r="H21" s="451"/>
      <c r="I21" s="58"/>
    </row>
    <row r="22" spans="1:14" ht="26.25" customHeight="1" x14ac:dyDescent="0.4">
      <c r="A22" s="54" t="s">
        <v>39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446" t="s">
        <v>142</v>
      </c>
      <c r="C26" s="446"/>
    </row>
    <row r="27" spans="1:14" ht="26.25" customHeight="1" x14ac:dyDescent="0.4">
      <c r="A27" s="63" t="s">
        <v>41</v>
      </c>
      <c r="B27" s="452" t="s">
        <v>154</v>
      </c>
      <c r="C27" s="452"/>
    </row>
    <row r="28" spans="1:14" ht="27" customHeight="1" x14ac:dyDescent="0.4">
      <c r="A28" s="63" t="s">
        <v>6</v>
      </c>
      <c r="B28" s="64">
        <v>99.9</v>
      </c>
    </row>
    <row r="29" spans="1:14" s="14" customFormat="1" ht="27" customHeight="1" x14ac:dyDescent="0.4">
      <c r="A29" s="63" t="s">
        <v>42</v>
      </c>
      <c r="B29" s="65">
        <v>0</v>
      </c>
      <c r="C29" s="422" t="s">
        <v>43</v>
      </c>
      <c r="D29" s="423"/>
      <c r="E29" s="423"/>
      <c r="F29" s="423"/>
      <c r="G29" s="424"/>
      <c r="I29" s="66"/>
      <c r="J29" s="66"/>
      <c r="K29" s="66"/>
      <c r="L29" s="66"/>
    </row>
    <row r="30" spans="1:14" s="14" customFormat="1" ht="19.5" customHeight="1" x14ac:dyDescent="0.3">
      <c r="A30" s="63" t="s">
        <v>44</v>
      </c>
      <c r="B30" s="67">
        <f>B28-B29</f>
        <v>99.9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45</v>
      </c>
      <c r="B31" s="70">
        <v>1</v>
      </c>
      <c r="C31" s="425" t="s">
        <v>46</v>
      </c>
      <c r="D31" s="426"/>
      <c r="E31" s="426"/>
      <c r="F31" s="426"/>
      <c r="G31" s="426"/>
      <c r="H31" s="427"/>
      <c r="I31" s="66"/>
      <c r="J31" s="66"/>
      <c r="K31" s="66"/>
      <c r="L31" s="66"/>
    </row>
    <row r="32" spans="1:14" s="14" customFormat="1" ht="27" customHeight="1" x14ac:dyDescent="0.4">
      <c r="A32" s="63" t="s">
        <v>47</v>
      </c>
      <c r="B32" s="70">
        <v>1</v>
      </c>
      <c r="C32" s="425" t="s">
        <v>48</v>
      </c>
      <c r="D32" s="426"/>
      <c r="E32" s="426"/>
      <c r="F32" s="426"/>
      <c r="G32" s="426"/>
      <c r="H32" s="427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49</v>
      </c>
      <c r="B34" s="75">
        <f>B31/B32</f>
        <v>1</v>
      </c>
      <c r="C34" s="53" t="s">
        <v>50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51</v>
      </c>
      <c r="B36" s="77">
        <v>50</v>
      </c>
      <c r="C36" s="53"/>
      <c r="D36" s="428" t="s">
        <v>52</v>
      </c>
      <c r="E36" s="453"/>
      <c r="F36" s="428" t="s">
        <v>53</v>
      </c>
      <c r="G36" s="429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54</v>
      </c>
      <c r="B37" s="79">
        <v>1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59</v>
      </c>
      <c r="B38" s="79">
        <v>1</v>
      </c>
      <c r="C38" s="85">
        <v>1</v>
      </c>
      <c r="D38" s="86">
        <v>187471200</v>
      </c>
      <c r="E38" s="87">
        <f>IF(ISBLANK(D38),"-",$D$48/$D$45*D38)</f>
        <v>181094194.31494224</v>
      </c>
      <c r="F38" s="86">
        <v>198104810</v>
      </c>
      <c r="G38" s="88">
        <f>IF(ISBLANK(F38),"-",$D$48/$F$45*F38)</f>
        <v>183084235.9959498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60</v>
      </c>
      <c r="B39" s="79">
        <v>1</v>
      </c>
      <c r="C39" s="90">
        <v>2</v>
      </c>
      <c r="D39" s="91">
        <v>187654019</v>
      </c>
      <c r="E39" s="92">
        <f>IF(ISBLANK(D39),"-",$D$48/$D$45*D39)</f>
        <v>181270794.55812874</v>
      </c>
      <c r="F39" s="91">
        <v>198325084</v>
      </c>
      <c r="G39" s="93">
        <f>IF(ISBLANK(F39),"-",$D$48/$F$45*F39)</f>
        <v>183287808.52404627</v>
      </c>
      <c r="I39" s="430">
        <f>ABS((F43/D43*D42)-F42)/D42</f>
        <v>1.1781591819648394E-2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61</v>
      </c>
      <c r="B40" s="79">
        <v>1</v>
      </c>
      <c r="C40" s="90">
        <v>3</v>
      </c>
      <c r="D40" s="91">
        <v>187406045</v>
      </c>
      <c r="E40" s="92">
        <f>IF(ISBLANK(D40),"-",$D$48/$D$45*D40)</f>
        <v>181031255.62232924</v>
      </c>
      <c r="F40" s="91">
        <v>198175111</v>
      </c>
      <c r="G40" s="93">
        <f>IF(ISBLANK(F40),"-",$D$48/$F$45*F40)</f>
        <v>183149206.67927018</v>
      </c>
      <c r="I40" s="430"/>
      <c r="L40" s="71"/>
      <c r="M40" s="71"/>
      <c r="N40" s="94"/>
    </row>
    <row r="41" spans="1:14" ht="27" customHeight="1" x14ac:dyDescent="0.4">
      <c r="A41" s="78" t="s">
        <v>62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63</v>
      </c>
      <c r="B42" s="79">
        <v>1</v>
      </c>
      <c r="C42" s="100" t="s">
        <v>64</v>
      </c>
      <c r="D42" s="101">
        <f>AVERAGE(D38:D41)</f>
        <v>187510421.33333334</v>
      </c>
      <c r="E42" s="102">
        <f>AVERAGE(E38:E41)</f>
        <v>181132081.49846673</v>
      </c>
      <c r="F42" s="101">
        <f>AVERAGE(F38:F41)</f>
        <v>198201668.33333334</v>
      </c>
      <c r="G42" s="103">
        <f>AVERAGE(G38:G41)</f>
        <v>183173750.39975539</v>
      </c>
      <c r="H42" s="104"/>
    </row>
    <row r="43" spans="1:14" ht="26.25" customHeight="1" x14ac:dyDescent="0.4">
      <c r="A43" s="78" t="s">
        <v>65</v>
      </c>
      <c r="B43" s="79">
        <v>1</v>
      </c>
      <c r="C43" s="105" t="s">
        <v>66</v>
      </c>
      <c r="D43" s="106">
        <v>16.579999999999998</v>
      </c>
      <c r="E43" s="94"/>
      <c r="F43" s="106">
        <v>17.329999999999998</v>
      </c>
      <c r="H43" s="104"/>
    </row>
    <row r="44" spans="1:14" ht="26.25" customHeight="1" x14ac:dyDescent="0.4">
      <c r="A44" s="78" t="s">
        <v>67</v>
      </c>
      <c r="B44" s="79">
        <v>1</v>
      </c>
      <c r="C44" s="107" t="s">
        <v>68</v>
      </c>
      <c r="D44" s="108">
        <f>D43*$B$34</f>
        <v>16.579999999999998</v>
      </c>
      <c r="E44" s="109"/>
      <c r="F44" s="108">
        <f>F43*$B$34</f>
        <v>17.329999999999998</v>
      </c>
      <c r="H44" s="104"/>
    </row>
    <row r="45" spans="1:14" ht="19.5" customHeight="1" x14ac:dyDescent="0.3">
      <c r="A45" s="78" t="s">
        <v>69</v>
      </c>
      <c r="B45" s="110">
        <f>(B44/B43)*(B42/B41)*(B40/B39)*(B38/B37)*B36</f>
        <v>50</v>
      </c>
      <c r="C45" s="107" t="s">
        <v>70</v>
      </c>
      <c r="D45" s="111">
        <f>D44*$B$30/100</f>
        <v>16.563419999999997</v>
      </c>
      <c r="E45" s="112"/>
      <c r="F45" s="111">
        <f>F44*$B$30/100</f>
        <v>17.312669999999997</v>
      </c>
      <c r="H45" s="104"/>
    </row>
    <row r="46" spans="1:14" ht="19.5" customHeight="1" x14ac:dyDescent="0.3">
      <c r="A46" s="416" t="s">
        <v>71</v>
      </c>
      <c r="B46" s="417"/>
      <c r="C46" s="107" t="s">
        <v>72</v>
      </c>
      <c r="D46" s="113">
        <f>D45/$B$45</f>
        <v>0.33126839999999996</v>
      </c>
      <c r="E46" s="114"/>
      <c r="F46" s="115">
        <f>F45/$B$45</f>
        <v>0.34625339999999993</v>
      </c>
      <c r="H46" s="104"/>
    </row>
    <row r="47" spans="1:14" ht="27" customHeight="1" x14ac:dyDescent="0.4">
      <c r="A47" s="418"/>
      <c r="B47" s="419"/>
      <c r="C47" s="116" t="s">
        <v>73</v>
      </c>
      <c r="D47" s="117">
        <v>0.32</v>
      </c>
      <c r="E47" s="118"/>
      <c r="F47" s="114"/>
      <c r="H47" s="104"/>
    </row>
    <row r="48" spans="1:14" ht="18.75" x14ac:dyDescent="0.3">
      <c r="C48" s="119" t="s">
        <v>74</v>
      </c>
      <c r="D48" s="111">
        <f>D47*$B$45</f>
        <v>16</v>
      </c>
      <c r="F48" s="120"/>
      <c r="H48" s="104"/>
    </row>
    <row r="49" spans="1:12" ht="19.5" customHeight="1" x14ac:dyDescent="0.3">
      <c r="C49" s="121" t="s">
        <v>75</v>
      </c>
      <c r="D49" s="122">
        <f>D48/B34</f>
        <v>16</v>
      </c>
      <c r="F49" s="120"/>
      <c r="H49" s="104"/>
    </row>
    <row r="50" spans="1:12" ht="18.75" x14ac:dyDescent="0.3">
      <c r="C50" s="76" t="s">
        <v>76</v>
      </c>
      <c r="D50" s="123">
        <f>AVERAGE(E38:E41,G38:G41)</f>
        <v>182152915.94911107</v>
      </c>
      <c r="F50" s="124"/>
      <c r="H50" s="104"/>
    </row>
    <row r="51" spans="1:12" ht="18.75" x14ac:dyDescent="0.3">
      <c r="C51" s="78" t="s">
        <v>77</v>
      </c>
      <c r="D51" s="125">
        <f>STDEV(E38:E41,G38:G41)/D50</f>
        <v>6.1648759305490903E-3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78</v>
      </c>
    </row>
    <row r="55" spans="1:12" ht="18.75" x14ac:dyDescent="0.3">
      <c r="A55" s="53" t="s">
        <v>79</v>
      </c>
      <c r="B55" s="130" t="str">
        <f>B21</f>
        <v>Each uncoated tablet contains: Isoniazid BP 300 mg.</v>
      </c>
    </row>
    <row r="56" spans="1:12" ht="26.25" customHeight="1" x14ac:dyDescent="0.4">
      <c r="A56" s="131" t="s">
        <v>80</v>
      </c>
      <c r="B56" s="132">
        <v>300</v>
      </c>
      <c r="C56" s="53" t="str">
        <f>B20</f>
        <v>Isoniazid BP</v>
      </c>
      <c r="H56" s="133"/>
    </row>
    <row r="57" spans="1:12" ht="18.75" x14ac:dyDescent="0.3">
      <c r="A57" s="130" t="s">
        <v>81</v>
      </c>
      <c r="B57" s="201">
        <f>Uniformity!C46</f>
        <v>399.18449999999996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82</v>
      </c>
      <c r="B59" s="77">
        <v>100</v>
      </c>
      <c r="C59" s="53"/>
      <c r="D59" s="134" t="s">
        <v>83</v>
      </c>
      <c r="E59" s="135" t="s">
        <v>55</v>
      </c>
      <c r="F59" s="135" t="s">
        <v>56</v>
      </c>
      <c r="G59" s="135" t="s">
        <v>84</v>
      </c>
      <c r="H59" s="80" t="s">
        <v>85</v>
      </c>
      <c r="L59" s="66"/>
    </row>
    <row r="60" spans="1:12" s="14" customFormat="1" ht="26.25" customHeight="1" x14ac:dyDescent="0.4">
      <c r="A60" s="78" t="s">
        <v>86</v>
      </c>
      <c r="B60" s="79">
        <v>1</v>
      </c>
      <c r="C60" s="433" t="s">
        <v>87</v>
      </c>
      <c r="D60" s="436">
        <v>42.31</v>
      </c>
      <c r="E60" s="136">
        <v>1</v>
      </c>
      <c r="F60" s="137">
        <v>175987428</v>
      </c>
      <c r="G60" s="202">
        <f>IF(ISBLANK(F60),"-",(F60/$D$50*$D$47*$B$68)*($B$57/$D$60))</f>
        <v>291.69308855953182</v>
      </c>
      <c r="H60" s="220">
        <f t="shared" ref="H60:H71" si="0">IF(ISBLANK(F60),"-",(G60/$B$56)*100)</f>
        <v>97.231029519843943</v>
      </c>
      <c r="L60" s="66"/>
    </row>
    <row r="61" spans="1:12" s="14" customFormat="1" ht="26.25" customHeight="1" x14ac:dyDescent="0.4">
      <c r="A61" s="78" t="s">
        <v>88</v>
      </c>
      <c r="B61" s="79">
        <v>1</v>
      </c>
      <c r="C61" s="434"/>
      <c r="D61" s="437"/>
      <c r="E61" s="138">
        <v>2</v>
      </c>
      <c r="F61" s="91">
        <v>176045582</v>
      </c>
      <c r="G61" s="203">
        <f>IF(ISBLANK(F61),"-",(F61/$D$50*$D$47*$B$68)*($B$57/$D$60))</f>
        <v>291.78947680762917</v>
      </c>
      <c r="H61" s="221">
        <f t="shared" si="0"/>
        <v>97.26315893587639</v>
      </c>
      <c r="L61" s="66"/>
    </row>
    <row r="62" spans="1:12" s="14" customFormat="1" ht="26.25" customHeight="1" x14ac:dyDescent="0.4">
      <c r="A62" s="78" t="s">
        <v>89</v>
      </c>
      <c r="B62" s="79">
        <v>1</v>
      </c>
      <c r="C62" s="434"/>
      <c r="D62" s="437"/>
      <c r="E62" s="138">
        <v>3</v>
      </c>
      <c r="F62" s="139">
        <v>175691134</v>
      </c>
      <c r="G62" s="203">
        <f>IF(ISBLANK(F62),"-",(F62/$D$50*$D$47*$B$68)*($B$57/$D$60))</f>
        <v>291.20199147967867</v>
      </c>
      <c r="H62" s="221">
        <f t="shared" si="0"/>
        <v>97.067330493226223</v>
      </c>
      <c r="L62" s="66"/>
    </row>
    <row r="63" spans="1:12" ht="27" customHeight="1" x14ac:dyDescent="0.4">
      <c r="A63" s="78" t="s">
        <v>90</v>
      </c>
      <c r="B63" s="79">
        <v>1</v>
      </c>
      <c r="C63" s="443"/>
      <c r="D63" s="438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91</v>
      </c>
      <c r="B64" s="79">
        <v>1</v>
      </c>
      <c r="C64" s="433" t="s">
        <v>92</v>
      </c>
      <c r="D64" s="436">
        <v>42.18</v>
      </c>
      <c r="E64" s="136">
        <v>1</v>
      </c>
      <c r="F64" s="137">
        <v>180742779</v>
      </c>
      <c r="G64" s="202">
        <f>IF(ISBLANK(F64),"-",(F64/$D$50*$D$47*$B$68)*($B$57/$D$64))</f>
        <v>300.49821744059949</v>
      </c>
      <c r="H64" s="220">
        <f t="shared" si="0"/>
        <v>100.16607248019982</v>
      </c>
    </row>
    <row r="65" spans="1:8" ht="26.25" customHeight="1" x14ac:dyDescent="0.4">
      <c r="A65" s="78" t="s">
        <v>93</v>
      </c>
      <c r="B65" s="79">
        <v>1</v>
      </c>
      <c r="C65" s="434"/>
      <c r="D65" s="437"/>
      <c r="E65" s="138">
        <v>2</v>
      </c>
      <c r="F65" s="91">
        <v>180979112</v>
      </c>
      <c r="G65" s="203">
        <f>IF(ISBLANK(F65),"-",(F65/$D$50*$D$47*$B$68)*($B$57/$D$64))</f>
        <v>300.89113850563626</v>
      </c>
      <c r="H65" s="221">
        <f t="shared" si="0"/>
        <v>100.29704616854542</v>
      </c>
    </row>
    <row r="66" spans="1:8" ht="26.25" customHeight="1" x14ac:dyDescent="0.4">
      <c r="A66" s="78" t="s">
        <v>94</v>
      </c>
      <c r="B66" s="79">
        <v>1</v>
      </c>
      <c r="C66" s="434"/>
      <c r="D66" s="437"/>
      <c r="E66" s="138">
        <v>3</v>
      </c>
      <c r="F66" s="91">
        <v>180578834</v>
      </c>
      <c r="G66" s="203">
        <f>IF(ISBLANK(F66),"-",(F66/$D$50*$D$47*$B$68)*($B$57/$D$64))</f>
        <v>300.22564677121579</v>
      </c>
      <c r="H66" s="221">
        <f t="shared" si="0"/>
        <v>100.07521559040526</v>
      </c>
    </row>
    <row r="67" spans="1:8" ht="27" customHeight="1" x14ac:dyDescent="0.4">
      <c r="A67" s="78" t="s">
        <v>95</v>
      </c>
      <c r="B67" s="79">
        <v>1</v>
      </c>
      <c r="C67" s="443"/>
      <c r="D67" s="438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96</v>
      </c>
      <c r="B68" s="142">
        <f>(B67/B66)*(B65/B64)*(B63/B62)*(B61/B60)*B59</f>
        <v>100</v>
      </c>
      <c r="C68" s="433" t="s">
        <v>97</v>
      </c>
      <c r="D68" s="436">
        <v>41.09</v>
      </c>
      <c r="E68" s="136">
        <v>1</v>
      </c>
      <c r="F68" s="137">
        <v>176056838</v>
      </c>
      <c r="G68" s="202">
        <f>IF(ISBLANK(F68),"-",(F68/$D$50*$D$47*$B$68)*($B$57/$D$68))</f>
        <v>300.47218586882053</v>
      </c>
      <c r="H68" s="221">
        <f t="shared" si="0"/>
        <v>100.15739528960685</v>
      </c>
    </row>
    <row r="69" spans="1:8" ht="27" customHeight="1" x14ac:dyDescent="0.4">
      <c r="A69" s="126" t="s">
        <v>98</v>
      </c>
      <c r="B69" s="143">
        <f>(D47*B68)/B56*B57</f>
        <v>42.579679999999996</v>
      </c>
      <c r="C69" s="434"/>
      <c r="D69" s="437"/>
      <c r="E69" s="138">
        <v>2</v>
      </c>
      <c r="F69" s="91">
        <v>175630793</v>
      </c>
      <c r="G69" s="203">
        <f>IF(ISBLANK(F69),"-",(F69/$D$50*$D$47*$B$68)*($B$57/$D$68))</f>
        <v>299.74506459433485</v>
      </c>
      <c r="H69" s="221">
        <f t="shared" si="0"/>
        <v>99.91502153144495</v>
      </c>
    </row>
    <row r="70" spans="1:8" ht="26.25" customHeight="1" x14ac:dyDescent="0.4">
      <c r="A70" s="439" t="s">
        <v>71</v>
      </c>
      <c r="B70" s="440"/>
      <c r="C70" s="434"/>
      <c r="D70" s="437"/>
      <c r="E70" s="138">
        <v>3</v>
      </c>
      <c r="F70" s="91">
        <v>176056083</v>
      </c>
      <c r="G70" s="203">
        <f>IF(ISBLANK(F70),"-",(F70/$D$50*$D$47*$B$68)*($B$57/$D$68))</f>
        <v>300.47089732755791</v>
      </c>
      <c r="H70" s="221">
        <f t="shared" si="0"/>
        <v>100.15696577585264</v>
      </c>
    </row>
    <row r="71" spans="1:8" ht="27" customHeight="1" x14ac:dyDescent="0.4">
      <c r="A71" s="441"/>
      <c r="B71" s="442"/>
      <c r="C71" s="435"/>
      <c r="D71" s="438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64</v>
      </c>
      <c r="G72" s="208">
        <f>AVERAGE(G60:G71)</f>
        <v>297.44307859500049</v>
      </c>
      <c r="H72" s="223">
        <f>AVERAGE(H60:H71)</f>
        <v>99.147692865000167</v>
      </c>
    </row>
    <row r="73" spans="1:8" ht="26.25" customHeight="1" x14ac:dyDescent="0.4">
      <c r="C73" s="144"/>
      <c r="D73" s="144"/>
      <c r="E73" s="144"/>
      <c r="F73" s="147" t="s">
        <v>77</v>
      </c>
      <c r="G73" s="207">
        <f>STDEV(G60:G71)/G72</f>
        <v>1.4873935171441234E-2</v>
      </c>
      <c r="H73" s="207">
        <f>STDEV(H60:H71)/H72</f>
        <v>1.4873935171441224E-2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20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62" t="s">
        <v>99</v>
      </c>
      <c r="B76" s="151" t="s">
        <v>100</v>
      </c>
      <c r="C76" s="420" t="str">
        <f>B26</f>
        <v>ISONIAZID</v>
      </c>
      <c r="D76" s="420"/>
      <c r="E76" s="152" t="s">
        <v>101</v>
      </c>
      <c r="F76" s="152"/>
      <c r="G76" s="153">
        <f>H72</f>
        <v>99.147692865000167</v>
      </c>
      <c r="H76" s="154"/>
    </row>
    <row r="77" spans="1:8" ht="18.75" x14ac:dyDescent="0.3">
      <c r="A77" s="61" t="s">
        <v>102</v>
      </c>
      <c r="B77" s="61" t="s">
        <v>103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454" t="str">
        <f>B26</f>
        <v>ISONIAZID</v>
      </c>
      <c r="C79" s="454"/>
    </row>
    <row r="80" spans="1:8" ht="26.25" customHeight="1" x14ac:dyDescent="0.4">
      <c r="A80" s="63" t="s">
        <v>41</v>
      </c>
      <c r="B80" s="454" t="str">
        <f>B27</f>
        <v>I8 - 2</v>
      </c>
      <c r="C80" s="454"/>
    </row>
    <row r="81" spans="1:12" ht="27" customHeight="1" x14ac:dyDescent="0.4">
      <c r="A81" s="63" t="s">
        <v>6</v>
      </c>
      <c r="B81" s="155">
        <f>B28</f>
        <v>99.9</v>
      </c>
    </row>
    <row r="82" spans="1:12" s="14" customFormat="1" ht="27" customHeight="1" x14ac:dyDescent="0.4">
      <c r="A82" s="63" t="s">
        <v>42</v>
      </c>
      <c r="B82" s="65">
        <v>0</v>
      </c>
      <c r="C82" s="422" t="s">
        <v>43</v>
      </c>
      <c r="D82" s="423"/>
      <c r="E82" s="423"/>
      <c r="F82" s="423"/>
      <c r="G82" s="424"/>
      <c r="I82" s="66"/>
      <c r="J82" s="66"/>
      <c r="K82" s="66"/>
      <c r="L82" s="66"/>
    </row>
    <row r="83" spans="1:12" s="14" customFormat="1" ht="19.5" customHeight="1" x14ac:dyDescent="0.3">
      <c r="A83" s="63" t="s">
        <v>44</v>
      </c>
      <c r="B83" s="67">
        <f>B81-B82</f>
        <v>99.9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45</v>
      </c>
      <c r="B84" s="70">
        <v>1</v>
      </c>
      <c r="C84" s="425" t="s">
        <v>104</v>
      </c>
      <c r="D84" s="426"/>
      <c r="E84" s="426"/>
      <c r="F84" s="426"/>
      <c r="G84" s="426"/>
      <c r="H84" s="427"/>
      <c r="I84" s="66"/>
      <c r="J84" s="66"/>
      <c r="K84" s="66"/>
      <c r="L84" s="66"/>
    </row>
    <row r="85" spans="1:12" s="14" customFormat="1" ht="27" customHeight="1" x14ac:dyDescent="0.4">
      <c r="A85" s="63" t="s">
        <v>47</v>
      </c>
      <c r="B85" s="70">
        <v>1</v>
      </c>
      <c r="C85" s="425" t="s">
        <v>105</v>
      </c>
      <c r="D85" s="426"/>
      <c r="E85" s="426"/>
      <c r="F85" s="426"/>
      <c r="G85" s="426"/>
      <c r="H85" s="427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49</v>
      </c>
      <c r="B87" s="75">
        <f>B84/B85</f>
        <v>1</v>
      </c>
      <c r="C87" s="53" t="s">
        <v>50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51</v>
      </c>
      <c r="B89" s="77">
        <v>50</v>
      </c>
      <c r="D89" s="156" t="s">
        <v>52</v>
      </c>
      <c r="E89" s="157"/>
      <c r="F89" s="428" t="s">
        <v>53</v>
      </c>
      <c r="G89" s="429"/>
    </row>
    <row r="90" spans="1:12" ht="27" customHeight="1" x14ac:dyDescent="0.4">
      <c r="A90" s="78" t="s">
        <v>54</v>
      </c>
      <c r="B90" s="79">
        <v>3</v>
      </c>
      <c r="C90" s="158" t="s">
        <v>55</v>
      </c>
      <c r="D90" s="81" t="s">
        <v>56</v>
      </c>
      <c r="E90" s="82" t="s">
        <v>57</v>
      </c>
      <c r="F90" s="81" t="s">
        <v>56</v>
      </c>
      <c r="G90" s="159" t="s">
        <v>57</v>
      </c>
      <c r="I90" s="84" t="s">
        <v>58</v>
      </c>
    </row>
    <row r="91" spans="1:12" ht="26.25" customHeight="1" x14ac:dyDescent="0.4">
      <c r="A91" s="78" t="s">
        <v>59</v>
      </c>
      <c r="B91" s="79">
        <v>100</v>
      </c>
      <c r="C91" s="160">
        <v>1</v>
      </c>
      <c r="D91" s="86">
        <v>0.41299999999999998</v>
      </c>
      <c r="E91" s="87">
        <f>IF(ISBLANK(D91),"-",$D$101/$D$98*D91)</f>
        <v>0.40650286471328739</v>
      </c>
      <c r="F91" s="86">
        <v>0.40899999999999997</v>
      </c>
      <c r="G91" s="88">
        <f>IF(ISBLANK(F91),"-",$D$101/$F$98*F91)</f>
        <v>0.40932754390062914</v>
      </c>
      <c r="I91" s="89"/>
    </row>
    <row r="92" spans="1:12" ht="26.25" customHeight="1" x14ac:dyDescent="0.4">
      <c r="A92" s="78" t="s">
        <v>60</v>
      </c>
      <c r="B92" s="79">
        <v>1</v>
      </c>
      <c r="C92" s="145">
        <v>2</v>
      </c>
      <c r="D92" s="91">
        <v>0.42</v>
      </c>
      <c r="E92" s="92">
        <f>IF(ISBLANK(D92),"-",$D$101/$D$98*D92)</f>
        <v>0.41339274377622448</v>
      </c>
      <c r="F92" s="91">
        <v>0.40899999999999997</v>
      </c>
      <c r="G92" s="93">
        <f>IF(ISBLANK(F92),"-",$D$101/$F$98*F92)</f>
        <v>0.40932754390062914</v>
      </c>
      <c r="I92" s="430">
        <f>ABS((F96/D96*D95)-F95)/D95</f>
        <v>5.0119264371711377E-3</v>
      </c>
    </row>
    <row r="93" spans="1:12" ht="26.25" customHeight="1" x14ac:dyDescent="0.4">
      <c r="A93" s="78" t="s">
        <v>61</v>
      </c>
      <c r="B93" s="79">
        <v>1</v>
      </c>
      <c r="C93" s="145">
        <v>3</v>
      </c>
      <c r="D93" s="91">
        <v>0.42099999999999999</v>
      </c>
      <c r="E93" s="92">
        <f>IF(ISBLANK(D93),"-",$D$101/$D$98*D93)</f>
        <v>0.41437701221378692</v>
      </c>
      <c r="F93" s="91">
        <v>0.40899999999999997</v>
      </c>
      <c r="G93" s="93">
        <f>IF(ISBLANK(F93),"-",$D$101/$F$98*F93)</f>
        <v>0.40932754390062914</v>
      </c>
      <c r="I93" s="430"/>
    </row>
    <row r="94" spans="1:12" ht="27" customHeight="1" x14ac:dyDescent="0.4">
      <c r="A94" s="78" t="s">
        <v>62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63</v>
      </c>
      <c r="B95" s="79">
        <v>1</v>
      </c>
      <c r="C95" s="163" t="s">
        <v>64</v>
      </c>
      <c r="D95" s="164">
        <f>AVERAGE(D91:D94)</f>
        <v>0.41799999999999998</v>
      </c>
      <c r="E95" s="102">
        <f>AVERAGE(E91:E94)</f>
        <v>0.4114242069010996</v>
      </c>
      <c r="F95" s="165">
        <f>AVERAGE(F91:F94)</f>
        <v>0.40899999999999997</v>
      </c>
      <c r="G95" s="166">
        <f>AVERAGE(G91:G94)</f>
        <v>0.40932754390062914</v>
      </c>
    </row>
    <row r="96" spans="1:12" ht="26.25" customHeight="1" x14ac:dyDescent="0.4">
      <c r="A96" s="78" t="s">
        <v>65</v>
      </c>
      <c r="B96" s="64">
        <v>1</v>
      </c>
      <c r="C96" s="167" t="s">
        <v>106</v>
      </c>
      <c r="D96" s="168">
        <v>16.95</v>
      </c>
      <c r="E96" s="94"/>
      <c r="F96" s="106">
        <v>16.670000000000002</v>
      </c>
    </row>
    <row r="97" spans="1:10" ht="26.25" customHeight="1" x14ac:dyDescent="0.4">
      <c r="A97" s="78" t="s">
        <v>67</v>
      </c>
      <c r="B97" s="64">
        <v>1</v>
      </c>
      <c r="C97" s="169" t="s">
        <v>107</v>
      </c>
      <c r="D97" s="170">
        <f>D96*$B$87</f>
        <v>16.95</v>
      </c>
      <c r="E97" s="109"/>
      <c r="F97" s="108">
        <f>F96*$B$87</f>
        <v>16.670000000000002</v>
      </c>
    </row>
    <row r="98" spans="1:10" ht="19.5" customHeight="1" x14ac:dyDescent="0.3">
      <c r="A98" s="78" t="s">
        <v>69</v>
      </c>
      <c r="B98" s="171">
        <f>(B97/B96)*(B95/B94)*(B93/B92)*(B91/B90)*B89</f>
        <v>1666.6666666666667</v>
      </c>
      <c r="C98" s="169" t="s">
        <v>108</v>
      </c>
      <c r="D98" s="172">
        <f>D97*$B$83/100</f>
        <v>16.933050000000001</v>
      </c>
      <c r="E98" s="112"/>
      <c r="F98" s="111">
        <f>F97*$B$83/100</f>
        <v>16.653330000000004</v>
      </c>
    </row>
    <row r="99" spans="1:10" ht="19.5" customHeight="1" x14ac:dyDescent="0.3">
      <c r="A99" s="416" t="s">
        <v>71</v>
      </c>
      <c r="B99" s="431"/>
      <c r="C99" s="169" t="s">
        <v>109</v>
      </c>
      <c r="D99" s="173">
        <f>D98/$B$98</f>
        <v>1.015983E-2</v>
      </c>
      <c r="E99" s="112"/>
      <c r="F99" s="115">
        <f>F98/$B$98</f>
        <v>9.9919980000000019E-3</v>
      </c>
      <c r="G99" s="174"/>
      <c r="H99" s="104"/>
    </row>
    <row r="100" spans="1:10" ht="19.5" customHeight="1" x14ac:dyDescent="0.3">
      <c r="A100" s="418"/>
      <c r="B100" s="432"/>
      <c r="C100" s="169" t="s">
        <v>73</v>
      </c>
      <c r="D100" s="175">
        <f>$B$56/$B$116</f>
        <v>9.9999999999999985E-3</v>
      </c>
      <c r="F100" s="120"/>
      <c r="G100" s="176"/>
      <c r="H100" s="104"/>
    </row>
    <row r="101" spans="1:10" ht="18.75" x14ac:dyDescent="0.3">
      <c r="C101" s="169" t="s">
        <v>74</v>
      </c>
      <c r="D101" s="170">
        <f>D100*$B$98</f>
        <v>16.666666666666664</v>
      </c>
      <c r="F101" s="120"/>
      <c r="G101" s="174"/>
      <c r="H101" s="104"/>
    </row>
    <row r="102" spans="1:10" ht="19.5" customHeight="1" x14ac:dyDescent="0.3">
      <c r="C102" s="177" t="s">
        <v>75</v>
      </c>
      <c r="D102" s="178">
        <f>D101/B34</f>
        <v>16.666666666666664</v>
      </c>
      <c r="F102" s="124"/>
      <c r="G102" s="174"/>
      <c r="H102" s="104"/>
      <c r="J102" s="179"/>
    </row>
    <row r="103" spans="1:10" ht="18.75" x14ac:dyDescent="0.3">
      <c r="C103" s="180" t="s">
        <v>110</v>
      </c>
      <c r="D103" s="181">
        <f>AVERAGE(E91:E94,G91:G94)</f>
        <v>0.4103758754008644</v>
      </c>
      <c r="F103" s="124"/>
      <c r="G103" s="182"/>
      <c r="H103" s="104"/>
      <c r="J103" s="183"/>
    </row>
    <row r="104" spans="1:10" ht="18.75" x14ac:dyDescent="0.3">
      <c r="C104" s="147" t="s">
        <v>77</v>
      </c>
      <c r="D104" s="184">
        <f>STDEV(E91:E94,G91:G94)/D103</f>
        <v>7.179877908643959E-3</v>
      </c>
      <c r="F104" s="124"/>
      <c r="G104" s="174"/>
      <c r="H104" s="104"/>
      <c r="J104" s="183"/>
    </row>
    <row r="105" spans="1:10" ht="19.5" customHeight="1" x14ac:dyDescent="0.3">
      <c r="C105" s="149" t="s">
        <v>20</v>
      </c>
      <c r="D105" s="185">
        <f>COUNT(E91:E94,G91:G94)</f>
        <v>6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111</v>
      </c>
      <c r="B107" s="77">
        <v>900</v>
      </c>
      <c r="C107" s="224" t="s">
        <v>112</v>
      </c>
      <c r="D107" s="224" t="s">
        <v>56</v>
      </c>
      <c r="E107" s="224" t="s">
        <v>113</v>
      </c>
      <c r="F107" s="186" t="s">
        <v>114</v>
      </c>
    </row>
    <row r="108" spans="1:10" ht="26.25" customHeight="1" x14ac:dyDescent="0.4">
      <c r="A108" s="78" t="s">
        <v>115</v>
      </c>
      <c r="B108" s="79">
        <v>3</v>
      </c>
      <c r="C108" s="227">
        <v>1</v>
      </c>
      <c r="D108" s="401">
        <v>0.45200000000000001</v>
      </c>
      <c r="E108" s="204">
        <f t="shared" ref="E108:E113" si="1">IF(ISBLANK(D108),"-",D108/$D$103*$D$100*$B$116)</f>
        <v>330.42878036517828</v>
      </c>
      <c r="F108" s="228">
        <f t="shared" ref="F108:F113" si="2">IF(ISBLANK(D108), "-", (E108/$B$56)*100)</f>
        <v>110.14292678839277</v>
      </c>
    </row>
    <row r="109" spans="1:10" ht="26.25" customHeight="1" x14ac:dyDescent="0.4">
      <c r="A109" s="78" t="s">
        <v>88</v>
      </c>
      <c r="B109" s="79">
        <v>100</v>
      </c>
      <c r="C109" s="225">
        <v>2</v>
      </c>
      <c r="D109" s="402">
        <v>0.442</v>
      </c>
      <c r="E109" s="205">
        <f t="shared" si="1"/>
        <v>323.11840911816103</v>
      </c>
      <c r="F109" s="229">
        <f t="shared" si="2"/>
        <v>107.70613637272035</v>
      </c>
    </row>
    <row r="110" spans="1:10" ht="26.25" customHeight="1" x14ac:dyDescent="0.4">
      <c r="A110" s="78" t="s">
        <v>89</v>
      </c>
      <c r="B110" s="79">
        <v>1</v>
      </c>
      <c r="C110" s="225">
        <v>3</v>
      </c>
      <c r="D110" s="402">
        <v>0.441</v>
      </c>
      <c r="E110" s="205">
        <f t="shared" si="1"/>
        <v>322.38737199345934</v>
      </c>
      <c r="F110" s="229">
        <f t="shared" si="2"/>
        <v>107.46245733115312</v>
      </c>
    </row>
    <row r="111" spans="1:10" ht="26.25" customHeight="1" x14ac:dyDescent="0.4">
      <c r="A111" s="78" t="s">
        <v>90</v>
      </c>
      <c r="B111" s="79">
        <v>1</v>
      </c>
      <c r="C111" s="225">
        <v>4</v>
      </c>
      <c r="D111" s="402">
        <v>0.44400000000000001</v>
      </c>
      <c r="E111" s="205">
        <f t="shared" si="1"/>
        <v>324.58048336756451</v>
      </c>
      <c r="F111" s="229">
        <f t="shared" si="2"/>
        <v>108.19349445585485</v>
      </c>
    </row>
    <row r="112" spans="1:10" ht="26.25" customHeight="1" x14ac:dyDescent="0.4">
      <c r="A112" s="78" t="s">
        <v>91</v>
      </c>
      <c r="B112" s="79">
        <v>1</v>
      </c>
      <c r="C112" s="225">
        <v>5</v>
      </c>
      <c r="D112" s="402">
        <v>0.443</v>
      </c>
      <c r="E112" s="205">
        <f t="shared" si="1"/>
        <v>323.84944624286283</v>
      </c>
      <c r="F112" s="229">
        <f t="shared" si="2"/>
        <v>107.94981541428761</v>
      </c>
    </row>
    <row r="113" spans="1:10" ht="27" customHeight="1" x14ac:dyDescent="0.4">
      <c r="A113" s="78" t="s">
        <v>93</v>
      </c>
      <c r="B113" s="79">
        <v>1</v>
      </c>
      <c r="C113" s="226">
        <v>6</v>
      </c>
      <c r="D113" s="403">
        <v>0.44</v>
      </c>
      <c r="E113" s="206">
        <f t="shared" si="1"/>
        <v>321.65633486875765</v>
      </c>
      <c r="F113" s="230">
        <f t="shared" si="2"/>
        <v>107.21877828958588</v>
      </c>
    </row>
    <row r="114" spans="1:10" ht="27" customHeight="1" x14ac:dyDescent="0.4">
      <c r="A114" s="78" t="s">
        <v>94</v>
      </c>
      <c r="B114" s="79">
        <v>1</v>
      </c>
      <c r="C114" s="187"/>
      <c r="D114" s="145"/>
      <c r="E114" s="52"/>
      <c r="F114" s="231"/>
    </row>
    <row r="115" spans="1:10" ht="26.25" customHeight="1" x14ac:dyDescent="0.4">
      <c r="A115" s="78" t="s">
        <v>95</v>
      </c>
      <c r="B115" s="79">
        <v>1</v>
      </c>
      <c r="C115" s="187"/>
      <c r="D115" s="211" t="s">
        <v>64</v>
      </c>
      <c r="E115" s="213">
        <f>AVERAGE(E108:E113)</f>
        <v>324.33680432599726</v>
      </c>
      <c r="F115" s="232">
        <f>AVERAGE(F108:F113)</f>
        <v>108.11226810866577</v>
      </c>
    </row>
    <row r="116" spans="1:10" ht="27" customHeight="1" x14ac:dyDescent="0.4">
      <c r="A116" s="78" t="s">
        <v>96</v>
      </c>
      <c r="B116" s="110">
        <f>(B115/B114)*(B113/B112)*(B111/B110)*(B109/B108)*B107</f>
        <v>30000.000000000004</v>
      </c>
      <c r="C116" s="188"/>
      <c r="D116" s="212" t="s">
        <v>77</v>
      </c>
      <c r="E116" s="210">
        <f>STDEV(E108:E113)/E115</f>
        <v>9.738152815038096E-3</v>
      </c>
      <c r="F116" s="189">
        <f>STDEV(F108:F113)/F115</f>
        <v>9.7381528150381168E-3</v>
      </c>
      <c r="I116" s="52"/>
    </row>
    <row r="117" spans="1:10" ht="27" customHeight="1" x14ac:dyDescent="0.4">
      <c r="A117" s="416" t="s">
        <v>71</v>
      </c>
      <c r="B117" s="417"/>
      <c r="C117" s="190"/>
      <c r="D117" s="149" t="s">
        <v>20</v>
      </c>
      <c r="E117" s="215">
        <f>COUNT(E108:E113)</f>
        <v>6</v>
      </c>
      <c r="F117" s="216">
        <f>COUNT(F108:F113)</f>
        <v>6</v>
      </c>
      <c r="I117" s="52"/>
      <c r="J117" s="183"/>
    </row>
    <row r="118" spans="1:10" ht="26.25" customHeight="1" x14ac:dyDescent="0.3">
      <c r="A118" s="418"/>
      <c r="B118" s="419"/>
      <c r="C118" s="52"/>
      <c r="D118" s="214"/>
      <c r="E118" s="444" t="s">
        <v>116</v>
      </c>
      <c r="F118" s="445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117</v>
      </c>
      <c r="E119" s="217">
        <f>MIN(E108:E113)</f>
        <v>321.65633486875765</v>
      </c>
      <c r="F119" s="233">
        <f>MIN(F108:F113)</f>
        <v>107.21877828958588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118</v>
      </c>
      <c r="E120" s="218">
        <f>MAX(E108:E113)</f>
        <v>330.42878036517828</v>
      </c>
      <c r="F120" s="234">
        <f>MAX(F108:F113)</f>
        <v>110.14292678839277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99</v>
      </c>
      <c r="B124" s="151" t="s">
        <v>119</v>
      </c>
      <c r="C124" s="420" t="str">
        <f>B26</f>
        <v>ISONIAZID</v>
      </c>
      <c r="D124" s="420"/>
      <c r="E124" s="152" t="s">
        <v>120</v>
      </c>
      <c r="F124" s="152"/>
      <c r="G124" s="235">
        <f>F115</f>
        <v>108.11226810866577</v>
      </c>
      <c r="H124" s="52"/>
      <c r="I124" s="52"/>
    </row>
    <row r="125" spans="1:10" ht="45.75" customHeight="1" x14ac:dyDescent="0.65">
      <c r="A125" s="62"/>
      <c r="B125" s="151" t="s">
        <v>121</v>
      </c>
      <c r="C125" s="63" t="s">
        <v>122</v>
      </c>
      <c r="D125" s="235">
        <f>MIN(F108:F113)</f>
        <v>107.21877828958588</v>
      </c>
      <c r="E125" s="163" t="s">
        <v>123</v>
      </c>
      <c r="F125" s="235">
        <f>MAX(F108:F113)</f>
        <v>110.14292678839277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421" t="s">
        <v>26</v>
      </c>
      <c r="C127" s="421"/>
      <c r="E127" s="158" t="s">
        <v>27</v>
      </c>
      <c r="F127" s="193"/>
      <c r="G127" s="421" t="s">
        <v>28</v>
      </c>
      <c r="H127" s="421"/>
    </row>
    <row r="128" spans="1:10" ht="69.95" customHeight="1" x14ac:dyDescent="0.3">
      <c r="A128" s="194" t="s">
        <v>29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30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0" priority="1" operator="greaterThan">
      <formula>0.02</formula>
    </cfRule>
  </conditionalFormatting>
  <conditionalFormatting sqref="D51">
    <cfRule type="cellIs" dxfId="9" priority="2" operator="greaterThan">
      <formula>0.02</formula>
    </cfRule>
  </conditionalFormatting>
  <conditionalFormatting sqref="G73">
    <cfRule type="cellIs" dxfId="8" priority="3" operator="greaterThan">
      <formula>0.02</formula>
    </cfRule>
  </conditionalFormatting>
  <conditionalFormatting sqref="H73">
    <cfRule type="cellIs" dxfId="7" priority="4" operator="greaterThan">
      <formula>0.02</formula>
    </cfRule>
  </conditionalFormatting>
  <conditionalFormatting sqref="D104">
    <cfRule type="cellIs" dxfId="6" priority="5" operator="greaterThan">
      <formula>0.02</formula>
    </cfRule>
  </conditionalFormatting>
  <conditionalFormatting sqref="I39">
    <cfRule type="cellIs" dxfId="5" priority="6" operator="lessThanOrEqual">
      <formula>0.02</formula>
    </cfRule>
  </conditionalFormatting>
  <conditionalFormatting sqref="I39">
    <cfRule type="cellIs" dxfId="4" priority="7" operator="greaterThan">
      <formula>0.02</formula>
    </cfRule>
  </conditionalFormatting>
  <conditionalFormatting sqref="I92">
    <cfRule type="cellIs" dxfId="3" priority="8" operator="lessThanOrEqual">
      <formula>0.02</formula>
    </cfRule>
  </conditionalFormatting>
  <conditionalFormatting sqref="I92">
    <cfRule type="cellIs" dxfId="2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64" zoomScale="60" zoomScaleNormal="66" workbookViewId="0">
      <selection activeCell="E79" sqref="E79"/>
    </sheetView>
  </sheetViews>
  <sheetFormatPr defaultRowHeight="12.75" x14ac:dyDescent="0.2"/>
  <cols>
    <col min="1" max="1" width="59" customWidth="1"/>
    <col min="2" max="2" width="32.7109375" customWidth="1"/>
    <col min="3" max="3" width="42.42578125" customWidth="1"/>
    <col min="4" max="4" width="20.140625" customWidth="1"/>
    <col min="5" max="5" width="26" customWidth="1"/>
    <col min="6" max="6" width="19.5703125" customWidth="1"/>
    <col min="7" max="7" width="29.7109375" customWidth="1"/>
    <col min="8" max="8" width="41.42578125" customWidth="1"/>
  </cols>
  <sheetData>
    <row r="1" spans="1:8" ht="14.25" customHeight="1" x14ac:dyDescent="0.2">
      <c r="A1" s="414" t="s">
        <v>124</v>
      </c>
      <c r="B1" s="414"/>
      <c r="C1" s="414"/>
      <c r="D1" s="414"/>
      <c r="E1" s="414"/>
      <c r="F1" s="414"/>
      <c r="G1" s="414"/>
      <c r="H1" s="414"/>
    </row>
    <row r="2" spans="1:8" ht="14.25" customHeight="1" x14ac:dyDescent="0.2">
      <c r="A2" s="414"/>
      <c r="B2" s="414"/>
      <c r="C2" s="414"/>
      <c r="D2" s="414"/>
      <c r="E2" s="414"/>
      <c r="F2" s="414"/>
      <c r="G2" s="414"/>
      <c r="H2" s="414"/>
    </row>
    <row r="3" spans="1:8" ht="14.25" customHeight="1" x14ac:dyDescent="0.2">
      <c r="A3" s="414"/>
      <c r="B3" s="414"/>
      <c r="C3" s="414"/>
      <c r="D3" s="414"/>
      <c r="E3" s="414"/>
      <c r="F3" s="414"/>
      <c r="G3" s="414"/>
      <c r="H3" s="414"/>
    </row>
    <row r="4" spans="1:8" ht="14.25" customHeight="1" x14ac:dyDescent="0.2">
      <c r="A4" s="414"/>
      <c r="B4" s="414"/>
      <c r="C4" s="414"/>
      <c r="D4" s="414"/>
      <c r="E4" s="414"/>
      <c r="F4" s="414"/>
      <c r="G4" s="414"/>
      <c r="H4" s="414"/>
    </row>
    <row r="5" spans="1:8" ht="14.25" customHeight="1" x14ac:dyDescent="0.2">
      <c r="A5" s="414"/>
      <c r="B5" s="414"/>
      <c r="C5" s="414"/>
      <c r="D5" s="414"/>
      <c r="E5" s="414"/>
      <c r="F5" s="414"/>
      <c r="G5" s="414"/>
      <c r="H5" s="414"/>
    </row>
    <row r="6" spans="1:8" ht="14.25" customHeight="1" x14ac:dyDescent="0.2">
      <c r="A6" s="414"/>
      <c r="B6" s="414"/>
      <c r="C6" s="414"/>
      <c r="D6" s="414"/>
      <c r="E6" s="414"/>
      <c r="F6" s="414"/>
      <c r="G6" s="414"/>
      <c r="H6" s="414"/>
    </row>
    <row r="7" spans="1:8" ht="14.25" customHeight="1" x14ac:dyDescent="0.2">
      <c r="A7" s="414"/>
      <c r="B7" s="414"/>
      <c r="C7" s="414"/>
      <c r="D7" s="414"/>
      <c r="E7" s="414"/>
      <c r="F7" s="414"/>
      <c r="G7" s="414"/>
      <c r="H7" s="414"/>
    </row>
    <row r="8" spans="1:8" ht="14.25" customHeight="1" x14ac:dyDescent="0.2">
      <c r="A8" s="415" t="s">
        <v>32</v>
      </c>
      <c r="B8" s="415"/>
      <c r="C8" s="415"/>
      <c r="D8" s="415"/>
      <c r="E8" s="415"/>
      <c r="F8" s="415"/>
      <c r="G8" s="415"/>
      <c r="H8" s="415"/>
    </row>
    <row r="9" spans="1:8" ht="14.25" customHeight="1" x14ac:dyDescent="0.2">
      <c r="A9" s="415"/>
      <c r="B9" s="415"/>
      <c r="C9" s="415"/>
      <c r="D9" s="415"/>
      <c r="E9" s="415"/>
      <c r="F9" s="415"/>
      <c r="G9" s="415"/>
      <c r="H9" s="415"/>
    </row>
    <row r="10" spans="1:8" ht="14.25" customHeight="1" x14ac:dyDescent="0.2">
      <c r="A10" s="415"/>
      <c r="B10" s="415"/>
      <c r="C10" s="415"/>
      <c r="D10" s="415"/>
      <c r="E10" s="415"/>
      <c r="F10" s="415"/>
      <c r="G10" s="415"/>
      <c r="H10" s="415"/>
    </row>
    <row r="11" spans="1:8" ht="14.25" customHeight="1" x14ac:dyDescent="0.2">
      <c r="A11" s="415"/>
      <c r="B11" s="415"/>
      <c r="C11" s="415"/>
      <c r="D11" s="415"/>
      <c r="E11" s="415"/>
      <c r="F11" s="415"/>
      <c r="G11" s="415"/>
      <c r="H11" s="415"/>
    </row>
    <row r="12" spans="1:8" ht="14.25" customHeight="1" x14ac:dyDescent="0.2">
      <c r="A12" s="415"/>
      <c r="B12" s="415"/>
      <c r="C12" s="415"/>
      <c r="D12" s="415"/>
      <c r="E12" s="415"/>
      <c r="F12" s="415"/>
      <c r="G12" s="415"/>
      <c r="H12" s="415"/>
    </row>
    <row r="13" spans="1:8" ht="14.25" customHeight="1" x14ac:dyDescent="0.2">
      <c r="A13" s="415"/>
      <c r="B13" s="415"/>
      <c r="C13" s="415"/>
      <c r="D13" s="415"/>
      <c r="E13" s="415"/>
      <c r="F13" s="415"/>
      <c r="G13" s="415"/>
      <c r="H13" s="415"/>
    </row>
    <row r="14" spans="1:8" ht="14.25" customHeight="1" x14ac:dyDescent="0.2">
      <c r="A14" s="415"/>
      <c r="B14" s="415"/>
      <c r="C14" s="415"/>
      <c r="D14" s="415"/>
      <c r="E14" s="415"/>
      <c r="F14" s="415"/>
      <c r="G14" s="415"/>
      <c r="H14" s="415"/>
    </row>
    <row r="15" spans="1:8" ht="19.5" customHeight="1" x14ac:dyDescent="0.3">
      <c r="A15" s="236"/>
      <c r="B15" s="236"/>
      <c r="C15" s="236"/>
      <c r="D15" s="236"/>
      <c r="E15" s="236"/>
      <c r="F15" s="236"/>
      <c r="G15" s="236"/>
      <c r="H15" s="236"/>
    </row>
    <row r="16" spans="1:8" ht="19.5" customHeight="1" x14ac:dyDescent="0.3">
      <c r="A16" s="447" t="s">
        <v>33</v>
      </c>
      <c r="B16" s="448"/>
      <c r="C16" s="448"/>
      <c r="D16" s="448"/>
      <c r="E16" s="448"/>
      <c r="F16" s="448"/>
      <c r="G16" s="448"/>
      <c r="H16" s="449"/>
    </row>
    <row r="17" spans="1:8" ht="18.75" customHeight="1" x14ac:dyDescent="0.3">
      <c r="A17" s="237" t="s">
        <v>34</v>
      </c>
      <c r="B17" s="237"/>
      <c r="C17" s="236"/>
      <c r="D17" s="236"/>
      <c r="E17" s="236"/>
      <c r="F17" s="236"/>
      <c r="G17" s="236"/>
      <c r="H17" s="236"/>
    </row>
    <row r="18" spans="1:8" ht="26.25" customHeight="1" x14ac:dyDescent="0.4">
      <c r="A18" s="238" t="s">
        <v>35</v>
      </c>
      <c r="B18" s="454" t="s">
        <v>152</v>
      </c>
      <c r="C18" s="454"/>
      <c r="D18" s="454"/>
      <c r="E18" s="454"/>
      <c r="F18" s="239"/>
      <c r="G18" s="239"/>
      <c r="H18" s="239"/>
    </row>
    <row r="19" spans="1:8" ht="26.25" customHeight="1" x14ac:dyDescent="0.4">
      <c r="A19" s="238" t="s">
        <v>36</v>
      </c>
      <c r="B19" s="240"/>
      <c r="C19" s="356">
        <v>5</v>
      </c>
      <c r="D19" s="239"/>
      <c r="E19" s="239"/>
      <c r="F19" s="239"/>
      <c r="G19" s="239"/>
      <c r="H19" s="239"/>
    </row>
    <row r="20" spans="1:8" ht="26.25" customHeight="1" x14ac:dyDescent="0.4">
      <c r="A20" s="238" t="s">
        <v>37</v>
      </c>
      <c r="B20" s="452" t="s">
        <v>153</v>
      </c>
      <c r="C20" s="452"/>
      <c r="D20" s="452"/>
      <c r="E20" s="452"/>
      <c r="F20" s="239"/>
      <c r="G20" s="239"/>
      <c r="H20" s="239"/>
    </row>
    <row r="21" spans="1:8" ht="26.25" customHeight="1" x14ac:dyDescent="0.4">
      <c r="A21" s="238" t="s">
        <v>38</v>
      </c>
      <c r="B21" s="452"/>
      <c r="C21" s="452"/>
      <c r="D21" s="452"/>
      <c r="E21" s="452"/>
      <c r="F21" s="452"/>
      <c r="G21" s="452"/>
      <c r="H21" s="452"/>
    </row>
    <row r="22" spans="1:8" ht="26.25" customHeight="1" x14ac:dyDescent="0.4">
      <c r="A22" s="238" t="s">
        <v>39</v>
      </c>
      <c r="B22" s="241"/>
      <c r="C22" s="242"/>
      <c r="D22" s="239"/>
      <c r="E22" s="239"/>
      <c r="F22" s="239"/>
      <c r="G22" s="239"/>
      <c r="H22" s="239"/>
    </row>
    <row r="23" spans="1:8" ht="26.25" customHeight="1" x14ac:dyDescent="0.4">
      <c r="A23" s="238" t="s">
        <v>40</v>
      </c>
      <c r="B23" s="243"/>
      <c r="C23" s="242"/>
      <c r="D23" s="239"/>
      <c r="E23" s="239"/>
      <c r="F23" s="239"/>
      <c r="G23" s="239"/>
      <c r="H23" s="239"/>
    </row>
    <row r="24" spans="1:8" ht="18.75" customHeight="1" x14ac:dyDescent="0.3">
      <c r="A24" s="238"/>
      <c r="B24" s="244"/>
      <c r="C24" s="236"/>
      <c r="D24" s="236"/>
      <c r="E24" s="236"/>
      <c r="F24" s="236"/>
      <c r="G24" s="236"/>
      <c r="H24" s="236"/>
    </row>
    <row r="25" spans="1:8" ht="18.75" customHeight="1" x14ac:dyDescent="0.3">
      <c r="A25" s="245" t="s">
        <v>1</v>
      </c>
      <c r="B25" s="244"/>
      <c r="C25" s="236"/>
      <c r="D25" s="236"/>
      <c r="E25" s="236"/>
      <c r="F25" s="236"/>
      <c r="G25" s="236"/>
      <c r="H25" s="236"/>
    </row>
    <row r="26" spans="1:8" ht="26.25" customHeight="1" x14ac:dyDescent="0.4">
      <c r="A26" s="246" t="s">
        <v>4</v>
      </c>
      <c r="B26" s="454" t="s">
        <v>150</v>
      </c>
      <c r="C26" s="454"/>
      <c r="D26" s="236"/>
      <c r="E26" s="236"/>
      <c r="F26" s="236"/>
      <c r="G26" s="236"/>
      <c r="H26" s="236"/>
    </row>
    <row r="27" spans="1:8" ht="26.25" customHeight="1" x14ac:dyDescent="0.4">
      <c r="A27" s="247" t="s">
        <v>41</v>
      </c>
      <c r="B27" s="452" t="s">
        <v>154</v>
      </c>
      <c r="C27" s="452"/>
      <c r="D27" s="236"/>
      <c r="E27" s="236"/>
      <c r="F27" s="236"/>
      <c r="G27" s="236"/>
      <c r="H27" s="236"/>
    </row>
    <row r="28" spans="1:8" ht="27" customHeight="1" x14ac:dyDescent="0.4">
      <c r="A28" s="247" t="s">
        <v>6</v>
      </c>
      <c r="B28" s="248">
        <v>99.9</v>
      </c>
      <c r="C28" s="236"/>
      <c r="D28" s="236"/>
      <c r="E28" s="236"/>
      <c r="F28" s="236"/>
      <c r="G28" s="236"/>
      <c r="H28" s="236"/>
    </row>
    <row r="29" spans="1:8" ht="27" customHeight="1" x14ac:dyDescent="0.4">
      <c r="A29" s="247" t="s">
        <v>42</v>
      </c>
      <c r="B29" s="249">
        <v>0</v>
      </c>
      <c r="C29" s="425" t="s">
        <v>125</v>
      </c>
      <c r="D29" s="426"/>
      <c r="E29" s="426"/>
      <c r="F29" s="426"/>
      <c r="G29" s="427"/>
      <c r="H29" s="250"/>
    </row>
    <row r="30" spans="1:8" ht="27" customHeight="1" x14ac:dyDescent="0.4">
      <c r="A30" s="247" t="s">
        <v>44</v>
      </c>
      <c r="B30" s="251">
        <f>B28-B29</f>
        <v>99.9</v>
      </c>
      <c r="C30" s="252"/>
      <c r="D30" s="252"/>
      <c r="E30" s="252"/>
      <c r="F30" s="252"/>
      <c r="G30" s="252"/>
      <c r="H30" s="250"/>
    </row>
    <row r="31" spans="1:8" ht="27" customHeight="1" x14ac:dyDescent="0.4">
      <c r="A31" s="247" t="s">
        <v>45</v>
      </c>
      <c r="B31" s="253">
        <v>1</v>
      </c>
      <c r="C31" s="425" t="s">
        <v>46</v>
      </c>
      <c r="D31" s="426"/>
      <c r="E31" s="426"/>
      <c r="F31" s="426"/>
      <c r="G31" s="427"/>
      <c r="H31" s="250"/>
    </row>
    <row r="32" spans="1:8" ht="27" customHeight="1" x14ac:dyDescent="0.4">
      <c r="A32" s="247" t="s">
        <v>47</v>
      </c>
      <c r="B32" s="253">
        <v>1</v>
      </c>
      <c r="C32" s="425" t="s">
        <v>48</v>
      </c>
      <c r="D32" s="426"/>
      <c r="E32" s="426"/>
      <c r="F32" s="426"/>
      <c r="G32" s="427"/>
      <c r="H32" s="250"/>
    </row>
    <row r="33" spans="1:8" ht="18.75" customHeight="1" x14ac:dyDescent="0.3">
      <c r="A33" s="247"/>
      <c r="B33" s="254"/>
      <c r="C33" s="255"/>
      <c r="D33" s="255"/>
      <c r="E33" s="255"/>
      <c r="F33" s="255"/>
      <c r="G33" s="250"/>
      <c r="H33" s="250"/>
    </row>
    <row r="34" spans="1:8" ht="18.75" customHeight="1" x14ac:dyDescent="0.3">
      <c r="A34" s="247" t="s">
        <v>49</v>
      </c>
      <c r="B34" s="256">
        <f>B31/B32</f>
        <v>1</v>
      </c>
      <c r="C34" s="236" t="s">
        <v>50</v>
      </c>
      <c r="D34" s="236"/>
      <c r="E34" s="236"/>
      <c r="F34" s="257"/>
      <c r="G34" s="250"/>
      <c r="H34" s="250"/>
    </row>
    <row r="35" spans="1:8" ht="19.5" customHeight="1" x14ac:dyDescent="0.3">
      <c r="A35" s="247"/>
      <c r="B35" s="258"/>
      <c r="C35" s="257"/>
      <c r="D35" s="257"/>
      <c r="E35" s="236"/>
      <c r="F35" s="257"/>
      <c r="G35" s="250"/>
      <c r="H35" s="250"/>
    </row>
    <row r="36" spans="1:8" ht="27" customHeight="1" x14ac:dyDescent="0.4">
      <c r="A36" s="259" t="s">
        <v>126</v>
      </c>
      <c r="B36" s="260">
        <v>50</v>
      </c>
      <c r="C36" s="236"/>
      <c r="D36" s="428" t="s">
        <v>52</v>
      </c>
      <c r="E36" s="429"/>
      <c r="F36" s="428" t="s">
        <v>53</v>
      </c>
      <c r="G36" s="429"/>
      <c r="H36" s="250"/>
    </row>
    <row r="37" spans="1:8" ht="26.25" customHeight="1" x14ac:dyDescent="0.4">
      <c r="A37" s="261" t="s">
        <v>54</v>
      </c>
      <c r="B37" s="262">
        <v>1</v>
      </c>
      <c r="C37" s="263" t="s">
        <v>55</v>
      </c>
      <c r="D37" s="264" t="s">
        <v>56</v>
      </c>
      <c r="E37" s="265" t="s">
        <v>127</v>
      </c>
      <c r="F37" s="264" t="s">
        <v>56</v>
      </c>
      <c r="G37" s="265" t="s">
        <v>127</v>
      </c>
      <c r="H37" s="250"/>
    </row>
    <row r="38" spans="1:8" ht="26.25" customHeight="1" x14ac:dyDescent="0.4">
      <c r="A38" s="261" t="s">
        <v>59</v>
      </c>
      <c r="B38" s="262">
        <v>1</v>
      </c>
      <c r="C38" s="266">
        <v>1</v>
      </c>
      <c r="D38" s="267">
        <v>187471200</v>
      </c>
      <c r="E38" s="268">
        <f>IF(ISBLANK(D38),"-",$D$48/$D$45*D38)</f>
        <v>181094194.31494224</v>
      </c>
      <c r="F38" s="269">
        <v>198104810</v>
      </c>
      <c r="G38" s="270">
        <f>IF(ISBLANK(F38),"-",$D$48/$F$45*F38)</f>
        <v>183084235.9959498</v>
      </c>
      <c r="H38" s="250"/>
    </row>
    <row r="39" spans="1:8" ht="26.25" customHeight="1" x14ac:dyDescent="0.4">
      <c r="A39" s="261" t="s">
        <v>60</v>
      </c>
      <c r="B39" s="262">
        <v>1</v>
      </c>
      <c r="C39" s="271">
        <v>2</v>
      </c>
      <c r="D39" s="272">
        <v>187654019</v>
      </c>
      <c r="E39" s="273">
        <f>IF(ISBLANK(D39),"-",$D$48/$D$45*D39)</f>
        <v>181270794.55812874</v>
      </c>
      <c r="F39" s="248">
        <v>198325084</v>
      </c>
      <c r="G39" s="274">
        <f>IF(ISBLANK(F39),"-",$D$48/$F$45*F39)</f>
        <v>183287808.52404627</v>
      </c>
      <c r="H39" s="250"/>
    </row>
    <row r="40" spans="1:8" ht="26.25" customHeight="1" x14ac:dyDescent="0.4">
      <c r="A40" s="261" t="s">
        <v>61</v>
      </c>
      <c r="B40" s="262">
        <v>1</v>
      </c>
      <c r="C40" s="271">
        <v>3</v>
      </c>
      <c r="D40" s="272">
        <v>187406045</v>
      </c>
      <c r="E40" s="273">
        <f>IF(ISBLANK(D40),"-",$D$48/$D$45*D40)</f>
        <v>181031255.62232924</v>
      </c>
      <c r="F40" s="248">
        <v>198175111</v>
      </c>
      <c r="G40" s="274">
        <f>IF(ISBLANK(F40),"-",$D$48/$F$45*F40)</f>
        <v>183149206.67927018</v>
      </c>
      <c r="H40" s="236"/>
    </row>
    <row r="41" spans="1:8" ht="26.25" customHeight="1" x14ac:dyDescent="0.4">
      <c r="A41" s="261" t="s">
        <v>62</v>
      </c>
      <c r="B41" s="262">
        <v>1</v>
      </c>
      <c r="C41" s="275">
        <v>4</v>
      </c>
      <c r="D41" s="276"/>
      <c r="E41" s="277" t="str">
        <f>IF(ISBLANK(D41),"-",$D$48/$D$45*D41)</f>
        <v>-</v>
      </c>
      <c r="F41" s="278"/>
      <c r="G41" s="279" t="str">
        <f>IF(ISBLANK(F41),"-",$D$48/$F$45*F41)</f>
        <v>-</v>
      </c>
      <c r="H41" s="236"/>
    </row>
    <row r="42" spans="1:8" ht="27" customHeight="1" x14ac:dyDescent="0.4">
      <c r="A42" s="261" t="s">
        <v>63</v>
      </c>
      <c r="B42" s="262">
        <v>1</v>
      </c>
      <c r="C42" s="280" t="s">
        <v>64</v>
      </c>
      <c r="D42" s="281">
        <f>AVERAGE(D38:D41)</f>
        <v>187510421.33333334</v>
      </c>
      <c r="E42" s="282">
        <f>AVERAGE(E38:E41)</f>
        <v>181132081.49846673</v>
      </c>
      <c r="F42" s="283">
        <f>AVERAGE(F38:F41)</f>
        <v>198201668.33333334</v>
      </c>
      <c r="G42" s="282">
        <f>AVERAGE(G38:G41)</f>
        <v>183173750.39975539</v>
      </c>
      <c r="H42" s="236"/>
    </row>
    <row r="43" spans="1:8" ht="26.25" customHeight="1" x14ac:dyDescent="0.4">
      <c r="A43" s="261" t="s">
        <v>65</v>
      </c>
      <c r="B43" s="248">
        <v>1</v>
      </c>
      <c r="C43" s="284" t="s">
        <v>128</v>
      </c>
      <c r="D43" s="285">
        <v>16.579999999999998</v>
      </c>
      <c r="E43" s="286"/>
      <c r="F43" s="287">
        <v>17.329999999999998</v>
      </c>
      <c r="G43" s="236"/>
      <c r="H43" s="236"/>
    </row>
    <row r="44" spans="1:8" ht="26.25" customHeight="1" x14ac:dyDescent="0.4">
      <c r="A44" s="261" t="s">
        <v>67</v>
      </c>
      <c r="B44" s="248">
        <v>1</v>
      </c>
      <c r="C44" s="288" t="s">
        <v>129</v>
      </c>
      <c r="D44" s="289">
        <f>D43*$B$34</f>
        <v>16.579999999999998</v>
      </c>
      <c r="E44" s="290"/>
      <c r="F44" s="291">
        <f>F43*$B$34</f>
        <v>17.329999999999998</v>
      </c>
      <c r="G44" s="236"/>
      <c r="H44" s="236"/>
    </row>
    <row r="45" spans="1:8" ht="19.5" customHeight="1" x14ac:dyDescent="0.3">
      <c r="A45" s="261" t="s">
        <v>69</v>
      </c>
      <c r="B45" s="290">
        <f>(B44/B43)*(B42/B41)*(B40/B39)*(B38/B37)*B36</f>
        <v>50</v>
      </c>
      <c r="C45" s="288" t="s">
        <v>108</v>
      </c>
      <c r="D45" s="292">
        <f>D44*$B$30/100</f>
        <v>16.563419999999997</v>
      </c>
      <c r="E45" s="293"/>
      <c r="F45" s="294">
        <f>F44*$B$30/100</f>
        <v>17.312669999999997</v>
      </c>
      <c r="G45" s="236"/>
      <c r="H45" s="236"/>
    </row>
    <row r="46" spans="1:8" ht="19.5" customHeight="1" x14ac:dyDescent="0.3">
      <c r="A46" s="416" t="s">
        <v>71</v>
      </c>
      <c r="B46" s="431"/>
      <c r="C46" s="288" t="s">
        <v>130</v>
      </c>
      <c r="D46" s="289">
        <f>D45/$B$45</f>
        <v>0.33126839999999996</v>
      </c>
      <c r="E46" s="293"/>
      <c r="F46" s="295">
        <f>F45/$B$45</f>
        <v>0.34625339999999993</v>
      </c>
      <c r="G46" s="236"/>
      <c r="H46" s="236"/>
    </row>
    <row r="47" spans="1:8" ht="27" customHeight="1" x14ac:dyDescent="0.4">
      <c r="A47" s="418"/>
      <c r="B47" s="432"/>
      <c r="C47" s="288" t="s">
        <v>131</v>
      </c>
      <c r="D47" s="296">
        <v>0.32</v>
      </c>
      <c r="E47" s="236"/>
      <c r="F47" s="297"/>
      <c r="G47" s="236"/>
      <c r="H47" s="236"/>
    </row>
    <row r="48" spans="1:8" ht="18.75" customHeight="1" x14ac:dyDescent="0.3">
      <c r="A48" s="236"/>
      <c r="B48" s="236"/>
      <c r="C48" s="288" t="s">
        <v>132</v>
      </c>
      <c r="D48" s="294">
        <f>D47*$B$45</f>
        <v>16</v>
      </c>
      <c r="E48" s="236"/>
      <c r="F48" s="297"/>
      <c r="G48" s="236"/>
      <c r="H48" s="236"/>
    </row>
    <row r="49" spans="1:8" ht="19.5" customHeight="1" x14ac:dyDescent="0.3">
      <c r="A49" s="236"/>
      <c r="B49" s="236"/>
      <c r="C49" s="298" t="s">
        <v>133</v>
      </c>
      <c r="D49" s="299">
        <f>D48/B34</f>
        <v>16</v>
      </c>
      <c r="E49" s="236"/>
      <c r="F49" s="300"/>
      <c r="G49" s="236"/>
      <c r="H49" s="236"/>
    </row>
    <row r="50" spans="1:8" ht="18.75" customHeight="1" x14ac:dyDescent="0.3">
      <c r="A50" s="236"/>
      <c r="B50" s="236"/>
      <c r="C50" s="301" t="s">
        <v>134</v>
      </c>
      <c r="D50" s="302">
        <f>AVERAGE(E38:E41,G38:G41)</f>
        <v>182152915.94911107</v>
      </c>
      <c r="E50" s="236"/>
      <c r="F50" s="300"/>
      <c r="G50" s="236"/>
      <c r="H50" s="236"/>
    </row>
    <row r="51" spans="1:8" ht="18.75" customHeight="1" x14ac:dyDescent="0.3">
      <c r="A51" s="236"/>
      <c r="B51" s="236"/>
      <c r="C51" s="303" t="s">
        <v>77</v>
      </c>
      <c r="D51" s="304">
        <f>STDEV(E38:E41,G38:G41)/D50</f>
        <v>6.1648759305490903E-3</v>
      </c>
      <c r="E51" s="236"/>
      <c r="F51" s="300"/>
      <c r="G51" s="236"/>
      <c r="H51" s="236"/>
    </row>
    <row r="52" spans="1:8" ht="19.5" customHeight="1" x14ac:dyDescent="0.3">
      <c r="A52" s="236"/>
      <c r="B52" s="236"/>
      <c r="C52" s="305" t="s">
        <v>20</v>
      </c>
      <c r="D52" s="306">
        <f>COUNT(E38:E41,G38:G41)</f>
        <v>6</v>
      </c>
      <c r="E52" s="236"/>
      <c r="F52" s="300"/>
      <c r="G52" s="236"/>
      <c r="H52" s="236"/>
    </row>
    <row r="53" spans="1:8" ht="18.75" customHeight="1" x14ac:dyDescent="0.3">
      <c r="A53" s="236"/>
      <c r="B53" s="236"/>
      <c r="C53" s="236"/>
      <c r="D53" s="236"/>
      <c r="E53" s="236"/>
      <c r="F53" s="236"/>
      <c r="G53" s="236"/>
      <c r="H53" s="236"/>
    </row>
    <row r="54" spans="1:8" ht="18.75" customHeight="1" x14ac:dyDescent="0.3">
      <c r="A54" s="237" t="s">
        <v>1</v>
      </c>
      <c r="B54" s="307" t="s">
        <v>135</v>
      </c>
      <c r="C54" s="236"/>
      <c r="D54" s="236"/>
      <c r="E54" s="236"/>
      <c r="F54" s="236"/>
      <c r="G54" s="236"/>
      <c r="H54" s="236"/>
    </row>
    <row r="55" spans="1:8" ht="18.75" customHeight="1" x14ac:dyDescent="0.3">
      <c r="A55" s="236" t="s">
        <v>79</v>
      </c>
      <c r="B55" s="308">
        <f>B21</f>
        <v>0</v>
      </c>
      <c r="C55" s="236"/>
      <c r="D55" s="236"/>
      <c r="E55" s="236"/>
      <c r="F55" s="236"/>
      <c r="G55" s="236"/>
      <c r="H55" s="236"/>
    </row>
    <row r="56" spans="1:8" ht="26.25" customHeight="1" x14ac:dyDescent="0.4">
      <c r="A56" s="247" t="s">
        <v>136</v>
      </c>
      <c r="B56" s="309">
        <v>1</v>
      </c>
      <c r="C56" s="310" t="s">
        <v>137</v>
      </c>
      <c r="D56" s="311">
        <v>1</v>
      </c>
      <c r="E56" s="236" t="str">
        <f>B20</f>
        <v xml:space="preserve">Isoniazid </v>
      </c>
      <c r="F56" s="310"/>
      <c r="G56" s="236"/>
      <c r="H56" s="236"/>
    </row>
    <row r="57" spans="1:8" ht="19.5" customHeight="1" x14ac:dyDescent="0.3">
      <c r="A57" s="236"/>
      <c r="B57" s="236"/>
      <c r="C57" s="236"/>
      <c r="D57" s="236"/>
      <c r="E57" s="236"/>
      <c r="F57" s="310"/>
      <c r="G57" s="236"/>
      <c r="H57" s="236"/>
    </row>
    <row r="58" spans="1:8" ht="27" customHeight="1" x14ac:dyDescent="0.4">
      <c r="A58" s="259" t="s">
        <v>138</v>
      </c>
      <c r="B58" s="312">
        <v>50</v>
      </c>
      <c r="C58" s="236"/>
      <c r="D58" s="313" t="s">
        <v>139</v>
      </c>
      <c r="E58" s="314" t="s">
        <v>55</v>
      </c>
      <c r="F58" s="314" t="s">
        <v>56</v>
      </c>
      <c r="G58" s="314" t="s">
        <v>140</v>
      </c>
      <c r="H58" s="263" t="s">
        <v>85</v>
      </c>
    </row>
    <row r="59" spans="1:8" ht="26.25" customHeight="1" x14ac:dyDescent="0.4">
      <c r="A59" s="261" t="s">
        <v>115</v>
      </c>
      <c r="B59" s="315">
        <v>1</v>
      </c>
      <c r="C59" s="433" t="s">
        <v>87</v>
      </c>
      <c r="D59" s="455">
        <v>16.32</v>
      </c>
      <c r="E59" s="316">
        <v>1</v>
      </c>
      <c r="F59" s="317">
        <v>184806447</v>
      </c>
      <c r="G59" s="318">
        <f>IF(ISBLANK(F59),"-",(F59/$D$50*$D$47*$B$67)*$B$56/$D$59)</f>
        <v>0.9946741188984779</v>
      </c>
      <c r="H59" s="319">
        <f t="shared" ref="H59:H70" si="0">IF(ISBLANK(F59),"-",G59/$D$56)</f>
        <v>0.9946741188984779</v>
      </c>
    </row>
    <row r="60" spans="1:8" ht="26.25" customHeight="1" x14ac:dyDescent="0.4">
      <c r="A60" s="261" t="s">
        <v>88</v>
      </c>
      <c r="B60" s="315">
        <v>1</v>
      </c>
      <c r="C60" s="434"/>
      <c r="D60" s="456"/>
      <c r="E60" s="320">
        <v>2</v>
      </c>
      <c r="F60" s="321">
        <v>184900360</v>
      </c>
      <c r="G60" s="322">
        <f>IF(ISBLANK(F60),"-",(F60/$D$50*$D$47*$B$67)*$B$56/$D$59)</f>
        <v>0.99517958194938616</v>
      </c>
      <c r="H60" s="323">
        <f t="shared" si="0"/>
        <v>0.99517958194938616</v>
      </c>
    </row>
    <row r="61" spans="1:8" ht="26.25" customHeight="1" x14ac:dyDescent="0.4">
      <c r="A61" s="261" t="s">
        <v>89</v>
      </c>
      <c r="B61" s="315">
        <v>1</v>
      </c>
      <c r="C61" s="434"/>
      <c r="D61" s="456"/>
      <c r="E61" s="320">
        <v>3</v>
      </c>
      <c r="F61" s="321">
        <v>185143208</v>
      </c>
      <c r="G61" s="322">
        <f>IF(ISBLANK(F61),"-",(F61/$D$50*$D$47*$B$67)*$B$56/$D$59)</f>
        <v>0.99648665009742676</v>
      </c>
      <c r="H61" s="323">
        <f t="shared" si="0"/>
        <v>0.99648665009742676</v>
      </c>
    </row>
    <row r="62" spans="1:8" ht="27" customHeight="1" x14ac:dyDescent="0.4">
      <c r="A62" s="261" t="s">
        <v>90</v>
      </c>
      <c r="B62" s="315">
        <v>1</v>
      </c>
      <c r="C62" s="443"/>
      <c r="D62" s="457"/>
      <c r="E62" s="324">
        <v>4</v>
      </c>
      <c r="F62" s="325"/>
      <c r="G62" s="326" t="str">
        <f>IF(ISBLANK(F62),"-",(F62/$D$50*$D$47*$B$67)*$B$56/$D$59)</f>
        <v>-</v>
      </c>
      <c r="H62" s="323" t="str">
        <f t="shared" si="0"/>
        <v>-</v>
      </c>
    </row>
    <row r="63" spans="1:8" ht="26.25" customHeight="1" x14ac:dyDescent="0.4">
      <c r="A63" s="261" t="s">
        <v>91</v>
      </c>
      <c r="B63" s="315">
        <v>1</v>
      </c>
      <c r="C63" s="433" t="s">
        <v>92</v>
      </c>
      <c r="D63" s="455">
        <v>16.32</v>
      </c>
      <c r="E63" s="316">
        <v>1</v>
      </c>
      <c r="F63" s="317">
        <v>185781147</v>
      </c>
      <c r="G63" s="318">
        <f>IF(ISBLANK(F63),"-",(F63/$D$50*$D$47*$B$67)*$B$56/$D$63)</f>
        <v>0.99992019596683024</v>
      </c>
      <c r="H63" s="354">
        <f t="shared" si="0"/>
        <v>0.99992019596683024</v>
      </c>
    </row>
    <row r="64" spans="1:8" ht="26.25" customHeight="1" x14ac:dyDescent="0.4">
      <c r="A64" s="261" t="s">
        <v>93</v>
      </c>
      <c r="B64" s="315">
        <v>1</v>
      </c>
      <c r="C64" s="434"/>
      <c r="D64" s="456"/>
      <c r="E64" s="320">
        <v>2</v>
      </c>
      <c r="F64" s="321">
        <v>185878000</v>
      </c>
      <c r="G64" s="322">
        <f>IF(ISBLANK(F64),"-",(F64/$D$50*$D$47*$B$67)*$B$56/$D$63)</f>
        <v>1.0004414828266857</v>
      </c>
      <c r="H64" s="323">
        <f t="shared" si="0"/>
        <v>1.0004414828266857</v>
      </c>
    </row>
    <row r="65" spans="1:8" ht="26.25" customHeight="1" x14ac:dyDescent="0.4">
      <c r="A65" s="261" t="s">
        <v>94</v>
      </c>
      <c r="B65" s="315">
        <v>1</v>
      </c>
      <c r="C65" s="434"/>
      <c r="D65" s="456"/>
      <c r="E65" s="320">
        <v>3</v>
      </c>
      <c r="F65" s="321">
        <v>186259061</v>
      </c>
      <c r="G65" s="322">
        <f>IF(ISBLANK(F65),"-",(F65/$D$50*$D$47*$B$67)*$B$56/$D$63)</f>
        <v>1.0024924476094326</v>
      </c>
      <c r="H65" s="323">
        <f t="shared" si="0"/>
        <v>1.0024924476094326</v>
      </c>
    </row>
    <row r="66" spans="1:8" ht="27" customHeight="1" x14ac:dyDescent="0.4">
      <c r="A66" s="261" t="s">
        <v>95</v>
      </c>
      <c r="B66" s="315">
        <v>1</v>
      </c>
      <c r="C66" s="443"/>
      <c r="D66" s="457"/>
      <c r="E66" s="324">
        <v>4</v>
      </c>
      <c r="F66" s="325"/>
      <c r="G66" s="326" t="str">
        <f>IF(ISBLANK(F66),"-",(F66/$D$50*$D$47*$B$67)*$B$56/$D$63)</f>
        <v>-</v>
      </c>
      <c r="H66" s="355" t="str">
        <f t="shared" si="0"/>
        <v>-</v>
      </c>
    </row>
    <row r="67" spans="1:8" ht="26.25" customHeight="1" x14ac:dyDescent="0.4">
      <c r="A67" s="261" t="s">
        <v>96</v>
      </c>
      <c r="B67" s="271">
        <f>(B66/B65)*(B64/B63)*(B62/B61)*(B60/B59)*B58</f>
        <v>50</v>
      </c>
      <c r="C67" s="433" t="s">
        <v>97</v>
      </c>
      <c r="D67" s="455">
        <v>16.63</v>
      </c>
      <c r="E67" s="316">
        <v>1</v>
      </c>
      <c r="F67" s="317">
        <v>191759774</v>
      </c>
      <c r="G67" s="318">
        <f>IF(ISBLANK(F67),"-",(F67/$D$50*$D$47*$B$67)*$B$56/$D$67)</f>
        <v>1.0128592873657369</v>
      </c>
      <c r="H67" s="323">
        <f t="shared" si="0"/>
        <v>1.0128592873657369</v>
      </c>
    </row>
    <row r="68" spans="1:8" ht="27" customHeight="1" x14ac:dyDescent="0.4">
      <c r="A68" s="328" t="s">
        <v>141</v>
      </c>
      <c r="B68" s="329">
        <f>(D47*B67)/D56*B56</f>
        <v>16</v>
      </c>
      <c r="C68" s="434"/>
      <c r="D68" s="456"/>
      <c r="E68" s="320">
        <v>2</v>
      </c>
      <c r="F68" s="321">
        <v>191971422</v>
      </c>
      <c r="G68" s="322">
        <f>IF(ISBLANK(F68),"-",(F68/$D$50*$D$47*$B$67)*$B$56/$D$67)</f>
        <v>1.0139771946201144</v>
      </c>
      <c r="H68" s="323">
        <f t="shared" si="0"/>
        <v>1.0139771946201144</v>
      </c>
    </row>
    <row r="69" spans="1:8" ht="26.25" customHeight="1" x14ac:dyDescent="0.4">
      <c r="A69" s="416" t="s">
        <v>71</v>
      </c>
      <c r="B69" s="417"/>
      <c r="C69" s="434"/>
      <c r="D69" s="456"/>
      <c r="E69" s="320">
        <v>3</v>
      </c>
      <c r="F69" s="321">
        <v>191862532</v>
      </c>
      <c r="G69" s="322">
        <f>IF(ISBLANK(F69),"-",(F69/$D$50*$D$47*$B$67)*$B$56/$D$67)</f>
        <v>1.0134020466341698</v>
      </c>
      <c r="H69" s="323">
        <f t="shared" si="0"/>
        <v>1.0134020466341698</v>
      </c>
    </row>
    <row r="70" spans="1:8" ht="27" customHeight="1" x14ac:dyDescent="0.4">
      <c r="A70" s="418"/>
      <c r="B70" s="419"/>
      <c r="C70" s="435"/>
      <c r="D70" s="457"/>
      <c r="E70" s="324">
        <v>4</v>
      </c>
      <c r="F70" s="325"/>
      <c r="G70" s="326" t="str">
        <f>IF(ISBLANK(F70),"-",(F70/$D$50*$D$47*$B$67)*$B$56/$D$67)</f>
        <v>-</v>
      </c>
      <c r="H70" s="327" t="str">
        <f t="shared" si="0"/>
        <v>-</v>
      </c>
    </row>
    <row r="71" spans="1:8" ht="26.25" customHeight="1" x14ac:dyDescent="0.4">
      <c r="A71" s="330"/>
      <c r="B71" s="330"/>
      <c r="C71" s="330"/>
      <c r="D71" s="236"/>
      <c r="E71" s="330"/>
      <c r="F71" s="331"/>
      <c r="G71" s="301" t="s">
        <v>64</v>
      </c>
      <c r="H71" s="332">
        <f>AVERAGE(H59:H70)</f>
        <v>1.0032703339964733</v>
      </c>
    </row>
    <row r="72" spans="1:8" ht="26.25" customHeight="1" x14ac:dyDescent="0.4">
      <c r="A72" s="236"/>
      <c r="B72" s="236"/>
      <c r="C72" s="330"/>
      <c r="D72" s="236"/>
      <c r="E72" s="330"/>
      <c r="F72" s="331"/>
      <c r="G72" s="303" t="s">
        <v>77</v>
      </c>
      <c r="H72" s="333">
        <f>STDEV(H59:H70)/H71</f>
        <v>7.9929079479650854E-3</v>
      </c>
    </row>
    <row r="73" spans="1:8" ht="27" customHeight="1" x14ac:dyDescent="0.4">
      <c r="A73" s="330"/>
      <c r="B73" s="330"/>
      <c r="C73" s="331"/>
      <c r="D73" s="236"/>
      <c r="E73" s="334"/>
      <c r="F73" s="331"/>
      <c r="G73" s="305" t="s">
        <v>20</v>
      </c>
      <c r="H73" s="335">
        <f>COUNT(H59:H70)</f>
        <v>9</v>
      </c>
    </row>
    <row r="74" spans="1:8" ht="18.75" customHeight="1" x14ac:dyDescent="0.3">
      <c r="A74" s="336"/>
      <c r="B74" s="336"/>
      <c r="C74" s="290"/>
      <c r="D74" s="337"/>
      <c r="E74" s="293"/>
      <c r="F74" s="290"/>
      <c r="G74" s="338"/>
      <c r="H74" s="339"/>
    </row>
    <row r="75" spans="1:8" ht="26.25" customHeight="1" x14ac:dyDescent="0.4">
      <c r="A75" s="340" t="s">
        <v>99</v>
      </c>
      <c r="B75" s="341" t="s">
        <v>100</v>
      </c>
      <c r="C75" s="420" t="str">
        <f>B20</f>
        <v xml:space="preserve">Isoniazid </v>
      </c>
      <c r="D75" s="420"/>
      <c r="E75" s="342" t="s">
        <v>101</v>
      </c>
      <c r="F75" s="342"/>
      <c r="G75" s="343">
        <f>H71</f>
        <v>1.0032703339964733</v>
      </c>
      <c r="H75" s="339"/>
    </row>
    <row r="76" spans="1:8" ht="19.5" customHeight="1" x14ac:dyDescent="0.3">
      <c r="A76" s="344"/>
      <c r="B76" s="345"/>
      <c r="C76" s="345"/>
      <c r="D76" s="345"/>
      <c r="E76" s="345"/>
      <c r="F76" s="345"/>
      <c r="G76" s="345"/>
      <c r="H76" s="345"/>
    </row>
    <row r="77" spans="1:8" ht="18.75" customHeight="1" x14ac:dyDescent="0.3">
      <c r="A77" s="236"/>
      <c r="B77" s="310" t="s">
        <v>26</v>
      </c>
      <c r="C77" s="236"/>
      <c r="D77" s="236"/>
      <c r="E77" s="331" t="s">
        <v>27</v>
      </c>
      <c r="F77" s="346"/>
      <c r="G77" s="331" t="s">
        <v>28</v>
      </c>
      <c r="H77" s="236"/>
    </row>
    <row r="78" spans="1:8" ht="60" customHeight="1" x14ac:dyDescent="0.3">
      <c r="A78" s="347" t="s">
        <v>29</v>
      </c>
      <c r="B78" s="348" t="s">
        <v>151</v>
      </c>
      <c r="C78" s="348"/>
      <c r="D78" s="236"/>
      <c r="E78" s="349"/>
      <c r="F78" s="236"/>
      <c r="G78" s="350"/>
      <c r="H78" s="350"/>
    </row>
    <row r="79" spans="1:8" ht="60" customHeight="1" x14ac:dyDescent="0.3">
      <c r="A79" s="347" t="s">
        <v>30</v>
      </c>
      <c r="B79" s="351" t="s">
        <v>155</v>
      </c>
      <c r="C79" s="351"/>
      <c r="D79" s="236"/>
      <c r="E79" s="352" t="s">
        <v>156</v>
      </c>
      <c r="F79" s="346"/>
      <c r="G79" s="353"/>
      <c r="H79" s="353"/>
    </row>
    <row r="250" spans="1:1" x14ac:dyDescent="0.2">
      <c r="A250">
        <v>5</v>
      </c>
    </row>
  </sheetData>
  <sheetProtection password="F258" sheet="1" objects="1" scenarios="1" formatCells="0" formatColumns="0"/>
  <mergeCells count="22"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  <mergeCell ref="B27:C27"/>
    <mergeCell ref="C29:G29"/>
    <mergeCell ref="C31:G31"/>
    <mergeCell ref="C32:G32"/>
    <mergeCell ref="D36:E36"/>
    <mergeCell ref="F36:G36"/>
    <mergeCell ref="A1:H7"/>
    <mergeCell ref="A8:H14"/>
    <mergeCell ref="B26:C26"/>
    <mergeCell ref="A16:H16"/>
    <mergeCell ref="B18:E18"/>
    <mergeCell ref="B20:E20"/>
    <mergeCell ref="B21:H21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29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Uniformity</vt:lpstr>
      <vt:lpstr>SST</vt:lpstr>
      <vt:lpstr>ISONIAZID</vt:lpstr>
      <vt:lpstr>STD</vt:lpstr>
      <vt:lpstr>ISONIAZID!Print_Area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2017-03-20T06:36:17Z</cp:lastPrinted>
  <dcterms:created xsi:type="dcterms:W3CDTF">2005-07-05T10:19:27Z</dcterms:created>
  <dcterms:modified xsi:type="dcterms:W3CDTF">2017-03-20T06:43:23Z</dcterms:modified>
</cp:coreProperties>
</file>