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ISONIAZID!$A$1:$H$130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4" i="3" l="1"/>
  <c r="B116" i="3"/>
  <c r="D100" i="3" s="1"/>
  <c r="B98" i="3"/>
  <c r="D97" i="3"/>
  <c r="F95" i="3"/>
  <c r="D95" i="3"/>
  <c r="B87" i="3"/>
  <c r="F97" i="3" s="1"/>
  <c r="B83" i="3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I39" i="3"/>
  <c r="F45" i="3"/>
  <c r="G41" i="3" s="1"/>
  <c r="D44" i="3"/>
  <c r="D45" i="3" s="1"/>
  <c r="E38" i="3" s="1"/>
  <c r="D46" i="3"/>
  <c r="D98" i="3"/>
  <c r="E92" i="3" s="1"/>
  <c r="F98" i="3"/>
  <c r="F46" i="3"/>
  <c r="C50" i="2"/>
  <c r="D26" i="2"/>
  <c r="D30" i="2"/>
  <c r="D34" i="2"/>
  <c r="D38" i="2"/>
  <c r="D42" i="2"/>
  <c r="B49" i="2"/>
  <c r="D50" i="2"/>
  <c r="G38" i="3"/>
  <c r="D49" i="3"/>
  <c r="D27" i="2"/>
  <c r="D39" i="2"/>
  <c r="G40" i="3"/>
  <c r="D31" i="2"/>
  <c r="D35" i="2"/>
  <c r="D43" i="2"/>
  <c r="C49" i="2"/>
  <c r="E39" i="3"/>
  <c r="D24" i="2"/>
  <c r="D28" i="2"/>
  <c r="D32" i="2"/>
  <c r="D36" i="2"/>
  <c r="D40" i="2"/>
  <c r="D49" i="2"/>
  <c r="G39" i="3"/>
  <c r="E91" i="3" l="1"/>
  <c r="G93" i="3"/>
  <c r="E40" i="3"/>
  <c r="G42" i="3"/>
  <c r="E41" i="3"/>
  <c r="F99" i="3"/>
  <c r="G91" i="3"/>
  <c r="E94" i="3"/>
  <c r="D99" i="3"/>
  <c r="E93" i="3"/>
  <c r="G92" i="3"/>
  <c r="G94" i="3"/>
  <c r="G95" i="3" l="1"/>
  <c r="D103" i="3"/>
  <c r="E111" i="3" s="1"/>
  <c r="F111" i="3" s="1"/>
  <c r="D50" i="3"/>
  <c r="G67" i="3" s="1"/>
  <c r="H67" i="3" s="1"/>
  <c r="D105" i="3"/>
  <c r="E95" i="3"/>
  <c r="D52" i="3"/>
  <c r="E42" i="3"/>
  <c r="E112" i="3" l="1"/>
  <c r="F112" i="3" s="1"/>
  <c r="D104" i="3"/>
  <c r="E109" i="3"/>
  <c r="F109" i="3" s="1"/>
  <c r="E108" i="3"/>
  <c r="F108" i="3" s="1"/>
  <c r="E113" i="3"/>
  <c r="F113" i="3" s="1"/>
  <c r="E110" i="3"/>
  <c r="F110" i="3" s="1"/>
  <c r="G63" i="3"/>
  <c r="H63" i="3" s="1"/>
  <c r="G69" i="3"/>
  <c r="H69" i="3" s="1"/>
  <c r="G64" i="3"/>
  <c r="H64" i="3" s="1"/>
  <c r="G61" i="3"/>
  <c r="H61" i="3" s="1"/>
  <c r="G71" i="3"/>
  <c r="H71" i="3" s="1"/>
  <c r="G60" i="3"/>
  <c r="H60" i="3" s="1"/>
  <c r="G62" i="3"/>
  <c r="H62" i="3" s="1"/>
  <c r="G65" i="3"/>
  <c r="H65" i="3" s="1"/>
  <c r="G68" i="3"/>
  <c r="H68" i="3" s="1"/>
  <c r="D51" i="3"/>
  <c r="G70" i="3"/>
  <c r="H70" i="3" s="1"/>
  <c r="G66" i="3"/>
  <c r="H66" i="3" s="1"/>
  <c r="E115" i="3" l="1"/>
  <c r="E116" i="3" s="1"/>
  <c r="E117" i="3"/>
  <c r="E119" i="3"/>
  <c r="E120" i="3"/>
  <c r="H74" i="3"/>
  <c r="H72" i="3"/>
  <c r="G76" i="3" s="1"/>
  <c r="G72" i="3"/>
  <c r="G73" i="3" s="1"/>
  <c r="G74" i="3"/>
  <c r="F125" i="3"/>
  <c r="F120" i="3"/>
  <c r="F117" i="3"/>
  <c r="D125" i="3"/>
  <c r="F115" i="3"/>
  <c r="F119" i="3"/>
  <c r="H73" i="3" l="1"/>
  <c r="G124" i="3"/>
  <c r="F116" i="3"/>
</calcChain>
</file>

<file path=xl/sharedStrings.xml><?xml version="1.0" encoding="utf-8"?>
<sst xmlns="http://schemas.openxmlformats.org/spreadsheetml/2006/main" count="241" uniqueCount="133">
  <si>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</si>
  <si>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</si>
  <si>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</si>
  <si>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</si>
  <si>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</si>
  <si>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</si>
  <si>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</si>
  <si>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NDQB201610152</t>
  </si>
  <si>
    <t>Weight (mg):</t>
  </si>
  <si>
    <t>Isoniazid BP</t>
  </si>
  <si>
    <t>Standard Conc (mg/mL):</t>
  </si>
  <si>
    <t>Each uncoated tablet contains: Isoniazid BP 300 mg.</t>
  </si>
  <si>
    <t>2016-10-04 14:27:05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</si>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</sst>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185253244</v>
      </c>
      <c r="C24" s="18">
        <v>6812.4</v>
      </c>
      <c r="D24" s="19">
        <v>1.4</v>
      </c>
      <c r="E24" s="20">
        <v>4.5</v>
      </c>
    </row>
    <row r="25" spans="1:6" ht="16.5" customHeight="1" x14ac:dyDescent="0.3">
      <c r="A25" s="17">
        <v>2</v>
      </c>
      <c r="B25" s="18">
        <v>184990366</v>
      </c>
      <c r="C25" s="18">
        <v>6817.3</v>
      </c>
      <c r="D25" s="19">
        <v>1.4</v>
      </c>
      <c r="E25" s="19">
        <v>4.5</v>
      </c>
    </row>
    <row r="26" spans="1:6" ht="16.5" customHeight="1" x14ac:dyDescent="0.3">
      <c r="A26" s="17">
        <v>3</v>
      </c>
      <c r="B26" s="18">
        <v>185015122</v>
      </c>
      <c r="C26" s="18">
        <v>6933.6</v>
      </c>
      <c r="D26" s="19">
        <v>1.4</v>
      </c>
      <c r="E26" s="19">
        <v>4.4000000000000004</v>
      </c>
    </row>
    <row r="27" spans="1:6" ht="16.5" customHeight="1" x14ac:dyDescent="0.3">
      <c r="A27" s="17">
        <v>4</v>
      </c>
      <c r="B27" s="18">
        <v>184921760</v>
      </c>
      <c r="C27" s="18">
        <v>6950.5</v>
      </c>
      <c r="D27" s="19">
        <v>1.4</v>
      </c>
      <c r="E27" s="19">
        <v>4.4000000000000004</v>
      </c>
    </row>
    <row r="28" spans="1:6" ht="16.5" customHeight="1" x14ac:dyDescent="0.3">
      <c r="A28" s="17">
        <v>5</v>
      </c>
      <c r="B28" s="18">
        <v>184781371</v>
      </c>
      <c r="C28" s="18">
        <v>7043.7</v>
      </c>
      <c r="D28" s="19">
        <v>1.4</v>
      </c>
      <c r="E28" s="19">
        <v>4.4000000000000004</v>
      </c>
    </row>
    <row r="29" spans="1:6" ht="16.5" customHeight="1" x14ac:dyDescent="0.3">
      <c r="A29" s="17">
        <v>6</v>
      </c>
      <c r="B29" s="21">
        <v>184915871</v>
      </c>
      <c r="C29" s="21">
        <v>6927.2</v>
      </c>
      <c r="D29" s="22">
        <v>1.4</v>
      </c>
      <c r="E29" s="22">
        <v>4.4000000000000004</v>
      </c>
    </row>
    <row r="30" spans="1:6" ht="16.5" customHeight="1" x14ac:dyDescent="0.3">
      <c r="A30" s="23" t="s">
        <v>18</v>
      </c>
      <c r="B30" s="24">
        <f>AVERAGE(B24:B29)</f>
        <v>184979622.33333334</v>
      </c>
      <c r="C30" s="25">
        <f>AVERAGE(C24:C29)</f>
        <v>6914.1166666666659</v>
      </c>
      <c r="D30" s="26">
        <f>AVERAGE(D24:D29)</f>
        <v>1.4000000000000001</v>
      </c>
      <c r="E30" s="26">
        <f>AVERAGE(E24:E29)</f>
        <v>4.4333333333333336</v>
      </c>
    </row>
    <row r="31" spans="1:6" ht="16.5" customHeight="1" x14ac:dyDescent="0.3">
      <c r="A31" s="27" t="s">
        <v>19</v>
      </c>
      <c r="B31" s="28">
        <f>(STDEV(B24:B29)/B30)</f>
        <v>8.4776140569687197E-4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407.42</v>
      </c>
      <c r="D24" s="87">
        <f t="shared" ref="D24:D43" si="0">(C24-$C$46)/$C$46</f>
        <v>1.8767761609044035E-2</v>
      </c>
      <c r="E24" s="53"/>
    </row>
    <row r="25" spans="1:5" ht="15.75" customHeight="1" x14ac:dyDescent="0.3">
      <c r="C25" s="95">
        <v>404.6</v>
      </c>
      <c r="D25" s="88">
        <f t="shared" si="0"/>
        <v>1.1716254349367296E-2</v>
      </c>
      <c r="E25" s="53"/>
    </row>
    <row r="26" spans="1:5" ht="15.75" customHeight="1" x14ac:dyDescent="0.3">
      <c r="C26" s="95">
        <v>401.24</v>
      </c>
      <c r="D26" s="88">
        <f t="shared" si="0"/>
        <v>3.3144584654970842E-3</v>
      </c>
      <c r="E26" s="53"/>
    </row>
    <row r="27" spans="1:5" ht="15.75" customHeight="1" x14ac:dyDescent="0.3">
      <c r="C27" s="95">
        <v>403.77</v>
      </c>
      <c r="D27" s="88">
        <f t="shared" si="0"/>
        <v>9.6408107232921203E-3</v>
      </c>
      <c r="E27" s="53"/>
    </row>
    <row r="28" spans="1:5" ht="15.75" customHeight="1" x14ac:dyDescent="0.3">
      <c r="C28" s="95">
        <v>397.19</v>
      </c>
      <c r="D28" s="88">
        <f t="shared" si="0"/>
        <v>-6.8127062159536048E-3</v>
      </c>
      <c r="E28" s="53"/>
    </row>
    <row r="29" spans="1:5" ht="15.75" customHeight="1" x14ac:dyDescent="0.3">
      <c r="C29" s="95">
        <v>401.92</v>
      </c>
      <c r="D29" s="88">
        <f t="shared" si="0"/>
        <v>5.0148219181851139E-3</v>
      </c>
      <c r="E29" s="53"/>
    </row>
    <row r="30" spans="1:5" ht="15.75" customHeight="1" x14ac:dyDescent="0.3">
      <c r="C30" s="95">
        <v>398.46</v>
      </c>
      <c r="D30" s="88">
        <f t="shared" si="0"/>
        <v>-3.6370274146098626E-3</v>
      </c>
      <c r="E30" s="53"/>
    </row>
    <row r="31" spans="1:5" ht="15.75" customHeight="1" x14ac:dyDescent="0.3">
      <c r="C31" s="95">
        <v>394.42</v>
      </c>
      <c r="D31" s="88">
        <f t="shared" si="0"/>
        <v>-1.3739186751167962E-2</v>
      </c>
      <c r="E31" s="53"/>
    </row>
    <row r="32" spans="1:5" ht="15.75" customHeight="1" x14ac:dyDescent="0.3">
      <c r="C32" s="95">
        <v>391.71</v>
      </c>
      <c r="D32" s="88">
        <f t="shared" si="0"/>
        <v>-2.0515635217027629E-2</v>
      </c>
      <c r="E32" s="53"/>
    </row>
    <row r="33" spans="1:7" ht="15.75" customHeight="1" x14ac:dyDescent="0.3">
      <c r="C33" s="95">
        <v>400.77</v>
      </c>
      <c r="D33" s="88">
        <f t="shared" si="0"/>
        <v>2.1392072555508901E-3</v>
      </c>
      <c r="E33" s="53"/>
    </row>
    <row r="34" spans="1:7" ht="15.75" customHeight="1" x14ac:dyDescent="0.3">
      <c r="C34" s="95">
        <v>401.86</v>
      </c>
      <c r="D34" s="88">
        <f t="shared" si="0"/>
        <v>4.8647898488302834E-3</v>
      </c>
      <c r="E34" s="53"/>
    </row>
    <row r="35" spans="1:7" ht="15.75" customHeight="1" x14ac:dyDescent="0.3">
      <c r="C35" s="95">
        <v>396.37</v>
      </c>
      <c r="D35" s="88">
        <f t="shared" si="0"/>
        <v>-8.8631444971361915E-3</v>
      </c>
      <c r="E35" s="53"/>
    </row>
    <row r="36" spans="1:7" ht="15.75" customHeight="1" x14ac:dyDescent="0.3">
      <c r="C36" s="95">
        <v>402.9</v>
      </c>
      <c r="D36" s="88">
        <f t="shared" si="0"/>
        <v>7.4653457176471517E-3</v>
      </c>
      <c r="E36" s="53"/>
    </row>
    <row r="37" spans="1:7" ht="15.75" customHeight="1" x14ac:dyDescent="0.3">
      <c r="C37" s="95">
        <v>401.16</v>
      </c>
      <c r="D37" s="88">
        <f t="shared" si="0"/>
        <v>3.1144157063573582E-3</v>
      </c>
      <c r="E37" s="53"/>
    </row>
    <row r="38" spans="1:7" ht="15.75" customHeight="1" x14ac:dyDescent="0.3">
      <c r="C38" s="95">
        <v>396.83</v>
      </c>
      <c r="D38" s="88">
        <f t="shared" si="0"/>
        <v>-7.7128986320825869E-3</v>
      </c>
      <c r="E38" s="53"/>
    </row>
    <row r="39" spans="1:7" ht="15.75" customHeight="1" x14ac:dyDescent="0.3">
      <c r="C39" s="95">
        <v>400.49</v>
      </c>
      <c r="D39" s="88">
        <f t="shared" si="0"/>
        <v>1.4390575985617768E-3</v>
      </c>
      <c r="E39" s="53"/>
    </row>
    <row r="40" spans="1:7" ht="15.75" customHeight="1" x14ac:dyDescent="0.3">
      <c r="C40" s="95">
        <v>403.43</v>
      </c>
      <c r="D40" s="88">
        <f t="shared" si="0"/>
        <v>8.7906289969481768E-3</v>
      </c>
      <c r="E40" s="53"/>
    </row>
    <row r="41" spans="1:7" ht="15.75" customHeight="1" x14ac:dyDescent="0.3">
      <c r="C41" s="95">
        <v>398.32</v>
      </c>
      <c r="D41" s="88">
        <f t="shared" si="0"/>
        <v>-3.9871022431044196E-3</v>
      </c>
      <c r="E41" s="53"/>
    </row>
    <row r="42" spans="1:7" ht="15.75" customHeight="1" x14ac:dyDescent="0.3">
      <c r="C42" s="95">
        <v>397.76</v>
      </c>
      <c r="D42" s="88">
        <f t="shared" si="0"/>
        <v>-5.3874015570827879E-3</v>
      </c>
      <c r="E42" s="53"/>
    </row>
    <row r="43" spans="1:7" ht="16.5" customHeight="1" x14ac:dyDescent="0.3">
      <c r="C43" s="96">
        <v>397.67</v>
      </c>
      <c r="D43" s="89">
        <f t="shared" si="0"/>
        <v>-5.6124496611149625E-3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7998.2899999999991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399.91449999999998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399.91449999999998</v>
      </c>
      <c r="C49" s="93">
        <f>-IF(C46&lt;=80,10%,IF(C46&lt;250,7.5%,5%))</f>
        <v>-0.05</v>
      </c>
      <c r="D49" s="81">
        <f>IF(C46&lt;=80,C46*0.9,IF(C46&lt;250,C46*0.925,C46*0.95))</f>
        <v>379.91877499999998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419.91022499999997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6" zoomScale="50" zoomScaleNormal="40" zoomScaleSheetLayoutView="50" zoomScalePageLayoutView="55" workbookViewId="0">
      <selection activeCell="C84" sqref="C84:H8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131</v>
      </c>
      <c r="C26" s="327"/>
    </row>
    <row r="27" spans="1:14" ht="26.25" customHeight="1" x14ac:dyDescent="0.4">
      <c r="A27" s="109" t="s">
        <v>48</v>
      </c>
      <c r="B27" s="333" t="s">
        <v>132</v>
      </c>
      <c r="C27" s="333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187471200</v>
      </c>
      <c r="E38" s="133">
        <f>IF(ISBLANK(D38),"-",$D$48/$D$45*D38)</f>
        <v>181094194.31494224</v>
      </c>
      <c r="F38" s="132">
        <v>198104810</v>
      </c>
      <c r="G38" s="134">
        <f>IF(ISBLANK(F38),"-",$D$48/$F$45*F38)</f>
        <v>183084235.9959498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187654019</v>
      </c>
      <c r="E39" s="138">
        <f>IF(ISBLANK(D39),"-",$D$48/$D$45*D39)</f>
        <v>181270794.55812874</v>
      </c>
      <c r="F39" s="137">
        <v>198325084</v>
      </c>
      <c r="G39" s="139">
        <f>IF(ISBLANK(F39),"-",$D$48/$F$45*F39)</f>
        <v>183287808.52404627</v>
      </c>
      <c r="I39" s="311">
        <f>ABS((F43/D43*D42)-F42)/D42</f>
        <v>1.1781591819648394E-2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187406045</v>
      </c>
      <c r="E40" s="138">
        <f>IF(ISBLANK(D40),"-",$D$48/$D$45*D40)</f>
        <v>181031255.62232924</v>
      </c>
      <c r="F40" s="137">
        <v>198175111</v>
      </c>
      <c r="G40" s="139">
        <f>IF(ISBLANK(F40),"-",$D$48/$F$45*F40)</f>
        <v>183149206.67927018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187510421.33333334</v>
      </c>
      <c r="E42" s="148">
        <f>AVERAGE(E38:E41)</f>
        <v>181132081.49846673</v>
      </c>
      <c r="F42" s="147">
        <f>AVERAGE(F38:F41)</f>
        <v>198201668.33333334</v>
      </c>
      <c r="G42" s="149">
        <f>AVERAGE(G38:G41)</f>
        <v>183173750.39975539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16.579999999999998</v>
      </c>
      <c r="E43" s="140"/>
      <c r="F43" s="152">
        <v>17.329999999999998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16.579999999999998</v>
      </c>
      <c r="E44" s="155"/>
      <c r="F44" s="154">
        <f>F43*$B$34</f>
        <v>17.329999999999998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16.563419999999997</v>
      </c>
      <c r="E45" s="158"/>
      <c r="F45" s="157">
        <f>F44*$B$30/100</f>
        <v>17.312669999999997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0.33126839999999996</v>
      </c>
      <c r="E46" s="160"/>
      <c r="F46" s="161">
        <f>F45/$B$45</f>
        <v>0.34625339999999993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182152915.94911107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6.1648759305490903E-3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uncoated tablet contains: Isoniazid BP 300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Isoniazid BP</v>
      </c>
      <c r="H56" s="179"/>
    </row>
    <row r="57" spans="1:12" ht="18.75" x14ac:dyDescent="0.3">
      <c r="A57" s="176" t="s">
        <v>88</v>
      </c>
      <c r="B57" s="247">
        <f>Uniformity!C46</f>
        <v>399.91449999999998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4" t="s">
        <v>94</v>
      </c>
      <c r="D60" s="317">
        <v>41.09</v>
      </c>
      <c r="E60" s="182">
        <v>1</v>
      </c>
      <c r="F60" s="183">
        <v>175772995</v>
      </c>
      <c r="G60" s="248">
        <f>IF(ISBLANK(F60),"-",(F60/$D$50*$D$47*$B$68)*($B$57/$D$60))</f>
        <v>300.5363536088816</v>
      </c>
      <c r="H60" s="266">
        <f t="shared" ref="H60:H71" si="0">IF(ISBLANK(F60),"-",(G60/$B$56)*100)</f>
        <v>100.17878453629388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5"/>
      <c r="D61" s="318"/>
      <c r="E61" s="184">
        <v>2</v>
      </c>
      <c r="F61" s="137">
        <v>175643274</v>
      </c>
      <c r="G61" s="249">
        <f>IF(ISBLANK(F61),"-",(F61/$D$50*$D$47*$B$68)*($B$57/$D$60))</f>
        <v>300.31455687425523</v>
      </c>
      <c r="H61" s="267">
        <f t="shared" si="0"/>
        <v>100.10485229141841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175926767</v>
      </c>
      <c r="G62" s="249">
        <f>IF(ISBLANK(F62),"-",(F62/$D$50*$D$47*$B$68)*($B$57/$D$60))</f>
        <v>300.79927270044709</v>
      </c>
      <c r="H62" s="267">
        <f t="shared" si="0"/>
        <v>100.26642423348235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41.97</v>
      </c>
      <c r="E64" s="182">
        <v>1</v>
      </c>
      <c r="F64" s="183">
        <v>178339018</v>
      </c>
      <c r="G64" s="248">
        <f>IF(ISBLANK(F64),"-",(F64/$D$50*$D$47*$B$68)*($B$57/$D$64))</f>
        <v>298.53029015445645</v>
      </c>
      <c r="H64" s="266">
        <f t="shared" si="0"/>
        <v>99.510096718152155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178229468</v>
      </c>
      <c r="G65" s="249">
        <f>IF(ISBLANK(F65),"-",(F65/$D$50*$D$47*$B$68)*($B$57/$D$64))</f>
        <v>298.34690912178525</v>
      </c>
      <c r="H65" s="267">
        <f t="shared" si="0"/>
        <v>99.448969707261753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178515667</v>
      </c>
      <c r="G66" s="249">
        <f>IF(ISBLANK(F66),"-",(F66/$D$50*$D$47*$B$68)*($B$57/$D$64))</f>
        <v>298.82599144190829</v>
      </c>
      <c r="H66" s="267">
        <f t="shared" si="0"/>
        <v>99.608663813969429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14" t="s">
        <v>104</v>
      </c>
      <c r="D68" s="317">
        <v>40.909999999999997</v>
      </c>
      <c r="E68" s="182">
        <v>1</v>
      </c>
      <c r="F68" s="183">
        <v>174989870</v>
      </c>
      <c r="G68" s="248">
        <f>IF(ISBLANK(F68),"-",(F68/$D$50*$D$47*$B$68)*($B$57/$D$68))</f>
        <v>300.51380704394165</v>
      </c>
      <c r="H68" s="267">
        <f t="shared" si="0"/>
        <v>100.17126901464721</v>
      </c>
    </row>
    <row r="69" spans="1:8" ht="27" customHeight="1" x14ac:dyDescent="0.4">
      <c r="A69" s="172" t="s">
        <v>105</v>
      </c>
      <c r="B69" s="189">
        <f>(D47*B68)/B56*B57</f>
        <v>42.657546666666669</v>
      </c>
      <c r="C69" s="315"/>
      <c r="D69" s="318"/>
      <c r="E69" s="184">
        <v>2</v>
      </c>
      <c r="F69" s="137">
        <v>175566550</v>
      </c>
      <c r="G69" s="249">
        <f>IF(ISBLANK(F69),"-",(F69/$D$50*$D$47*$B$68)*($B$57/$D$68))</f>
        <v>301.50415181216226</v>
      </c>
      <c r="H69" s="267">
        <f t="shared" si="0"/>
        <v>100.50138393738742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175421625</v>
      </c>
      <c r="G70" s="249">
        <f>IF(ISBLANK(F70),"-",(F70/$D$50*$D$47*$B$68)*($B$57/$D$68))</f>
        <v>301.2552690426291</v>
      </c>
      <c r="H70" s="267">
        <f t="shared" si="0"/>
        <v>100.41842301420969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300.06962242227411</v>
      </c>
      <c r="H72" s="269">
        <f>AVERAGE(H60:H71)</f>
        <v>100.02320747409138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3.9703392005076511E-3</v>
      </c>
      <c r="H73" s="253">
        <f>STDEV(H60:H71)/H72</f>
        <v>3.9703392005076147E-3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ISONIAZID</v>
      </c>
      <c r="D76" s="301"/>
      <c r="E76" s="198" t="s">
        <v>108</v>
      </c>
      <c r="F76" s="198"/>
      <c r="G76" s="199">
        <f>H72</f>
        <v>100.02320747409138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ISONIAZID</v>
      </c>
      <c r="C79" s="335"/>
    </row>
    <row r="80" spans="1:8" ht="26.25" customHeight="1" x14ac:dyDescent="0.4">
      <c r="A80" s="109" t="s">
        <v>48</v>
      </c>
      <c r="B80" s="335" t="str">
        <f>B27</f>
        <v>I8-2</v>
      </c>
      <c r="C80" s="335"/>
    </row>
    <row r="81" spans="1:12" ht="27" customHeight="1" x14ac:dyDescent="0.4">
      <c r="A81" s="109" t="s">
        <v>6</v>
      </c>
      <c r="B81" s="201">
        <v>99.9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3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0.45500000000000002</v>
      </c>
      <c r="E91" s="133">
        <f>IF(ISBLANK(D91),"-",$D$101/$D$98*D91)</f>
        <v>0.40811420739736143</v>
      </c>
      <c r="F91" s="132">
        <v>0.36</v>
      </c>
      <c r="G91" s="134">
        <f>IF(ISBLANK(F91),"-",$D$101/$F$98*F91)</f>
        <v>0.40940736237259745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0.45300000000000001</v>
      </c>
      <c r="E92" s="138">
        <f>IF(ISBLANK(D92),"-",$D$101/$D$98*D92)</f>
        <v>0.40632029879341702</v>
      </c>
      <c r="F92" s="137">
        <v>0.36699999999999999</v>
      </c>
      <c r="G92" s="139">
        <f>IF(ISBLANK(F92),"-",$D$101/$F$98*F92)</f>
        <v>0.41736806108539798</v>
      </c>
      <c r="I92" s="311">
        <f>ABS((F96/D96*D95)-F95)/D95</f>
        <v>9.6774193548386199E-3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0.45600000000000002</v>
      </c>
      <c r="E93" s="138">
        <f>IF(ISBLANK(D93),"-",$D$101/$D$98*D93)</f>
        <v>0.40901116169933366</v>
      </c>
      <c r="F93" s="137">
        <v>0.36199999999999999</v>
      </c>
      <c r="G93" s="139">
        <f>IF(ISBLANK(F93),"-",$D$101/$F$98*F93)</f>
        <v>0.41168184771911187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0.45466666666666672</v>
      </c>
      <c r="E95" s="148">
        <f>AVERAGE(E91:E94)</f>
        <v>0.40781522263003739</v>
      </c>
      <c r="F95" s="211">
        <f>AVERAGE(F91:F94)</f>
        <v>0.36299999999999999</v>
      </c>
      <c r="G95" s="212">
        <f>AVERAGE(G91:G94)</f>
        <v>0.41281909039236914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18.600000000000001</v>
      </c>
      <c r="E96" s="140"/>
      <c r="F96" s="152">
        <v>14.67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18.600000000000001</v>
      </c>
      <c r="E97" s="155"/>
      <c r="F97" s="154">
        <f>F96*$B$87</f>
        <v>14.67</v>
      </c>
    </row>
    <row r="98" spans="1:10" ht="19.5" customHeight="1" x14ac:dyDescent="0.3">
      <c r="A98" s="124" t="s">
        <v>76</v>
      </c>
      <c r="B98" s="217">
        <f>(B97/B96)*(B95/B94)*(B93/B92)*(B91/B90)*B89</f>
        <v>1666.6666666666667</v>
      </c>
      <c r="C98" s="215" t="s">
        <v>115</v>
      </c>
      <c r="D98" s="218">
        <f>D97*$B$83/100</f>
        <v>18.581400000000002</v>
      </c>
      <c r="E98" s="158"/>
      <c r="F98" s="157">
        <f>F97*$B$83/100</f>
        <v>14.655330000000001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1.114884E-2</v>
      </c>
      <c r="E99" s="158"/>
      <c r="F99" s="161">
        <f>F98/$B$98</f>
        <v>8.7931980000000003E-3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9.9999999999999985E-3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0.41031715651120321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9.4351500072293801E-3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3">
        <v>1</v>
      </c>
      <c r="D108" s="282">
        <v>0.42</v>
      </c>
      <c r="E108" s="250">
        <f t="shared" ref="E108:E113" si="1">IF(ISBLANK(D108),"-",D108/$D$103*$D$100*$B$116)</f>
        <v>307.07953104212868</v>
      </c>
      <c r="F108" s="274">
        <f t="shared" ref="F108:F113" si="2">IF(ISBLANK(D108), "-", (E108/$B$56)*100)</f>
        <v>102.35984368070956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3">
        <v>0.43</v>
      </c>
      <c r="E109" s="251">
        <f t="shared" si="1"/>
        <v>314.39094844789366</v>
      </c>
      <c r="F109" s="275">
        <f t="shared" si="2"/>
        <v>104.79698281596454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3">
        <v>0.42299999999999999</v>
      </c>
      <c r="E110" s="251">
        <f t="shared" si="1"/>
        <v>309.27295626385813</v>
      </c>
      <c r="F110" s="275">
        <f t="shared" si="2"/>
        <v>103.09098542128605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3">
        <v>0.42699999999999999</v>
      </c>
      <c r="E111" s="251">
        <f t="shared" si="1"/>
        <v>312.19752322616415</v>
      </c>
      <c r="F111" s="275">
        <f t="shared" si="2"/>
        <v>104.06584107538805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3">
        <v>0.43099999999999999</v>
      </c>
      <c r="E112" s="251">
        <f t="shared" si="1"/>
        <v>315.12209018847017</v>
      </c>
      <c r="F112" s="275">
        <f t="shared" si="2"/>
        <v>105.04069672949005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4">
        <v>0.42799999999999999</v>
      </c>
      <c r="E113" s="252">
        <f t="shared" si="1"/>
        <v>312.9286649667406</v>
      </c>
      <c r="F113" s="276">
        <f t="shared" si="2"/>
        <v>104.30955498891352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311.8319523558759</v>
      </c>
      <c r="F115" s="278">
        <f>AVERAGE(F108:F113)</f>
        <v>103.94398411862529</v>
      </c>
    </row>
    <row r="116" spans="1:10" ht="27" customHeight="1" x14ac:dyDescent="0.4">
      <c r="A116" s="124" t="s">
        <v>103</v>
      </c>
      <c r="B116" s="156">
        <f>(B115/B114)*(B113/B112)*(B111/B110)*(B109/B108)*B107</f>
        <v>30000.000000000004</v>
      </c>
      <c r="C116" s="234"/>
      <c r="D116" s="258" t="s">
        <v>84</v>
      </c>
      <c r="E116" s="256">
        <f>STDEV(E108:E113)/E115</f>
        <v>9.9199042444577945E-3</v>
      </c>
      <c r="F116" s="235">
        <f>STDEV(F108:F113)/F115</f>
        <v>9.9199042444577459E-3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307.07953104212868</v>
      </c>
      <c r="F119" s="279">
        <f>MIN(F108:F113)</f>
        <v>102.35984368070956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315.12209018847017</v>
      </c>
      <c r="F120" s="280">
        <f>MAX(F108:F113)</f>
        <v>105.04069672949005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ISONIAZID</v>
      </c>
      <c r="D124" s="301"/>
      <c r="E124" s="198" t="s">
        <v>127</v>
      </c>
      <c r="F124" s="198"/>
      <c r="G124" s="281">
        <f>F115</f>
        <v>103.94398411862529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102.35984368070956</v>
      </c>
      <c r="E125" s="209" t="s">
        <v>130</v>
      </c>
      <c r="F125" s="281">
        <f>MAX(F108:F113)</f>
        <v>105.04069672949005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2017-03-20T09:16:03Z</dcterms:modified>
</cp:coreProperties>
</file>